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rsB6hNcxIotc7mWv06auMYm40cYvQ1vmxVAVi+hD19zjq7UfFpxuVfITyUTC1HQodE7+IbkMEIgaPEbENdbBaQ==" workbookSaltValue="/23hsXxnVDAmfXvushl1C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E17" i="13" s="1"/>
  <c r="BA17" i="13"/>
  <c r="BB16" i="13"/>
  <c r="BA16" i="13"/>
  <c r="AZ17" i="13"/>
  <c r="BD17" i="13" s="1"/>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G16" i="8" s="1"/>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1" i="13"/>
  <c r="BD18" i="8"/>
  <c r="E23" i="12"/>
  <c r="AP9" i="11"/>
  <c r="BE12" i="21"/>
  <c r="BE14" i="21" s="1"/>
  <c r="BE31" i="21" s="1"/>
  <c r="EN31" i="8"/>
  <c r="BA14" i="16"/>
  <c r="N29" i="11"/>
  <c r="N10" i="11"/>
  <c r="N11" i="11"/>
  <c r="ES31" i="8"/>
  <c r="AA31" i="8"/>
  <c r="EP31" i="8"/>
  <c r="ER31" i="13"/>
  <c r="EP31" i="19"/>
  <c r="S14" i="16"/>
  <c r="P14" i="16"/>
  <c r="F13" i="16"/>
  <c r="N30" i="16"/>
  <c r="H14" i="21"/>
  <c r="K23" i="2"/>
  <c r="G26" i="2"/>
  <c r="F30" i="17"/>
  <c r="F14" i="7"/>
  <c r="T14" i="16"/>
  <c r="T14" i="20"/>
  <c r="BF25" i="8"/>
  <c r="BF9" i="8"/>
  <c r="C30" i="7"/>
  <c r="AO14" i="21"/>
  <c r="AP14" i="16"/>
  <c r="T23" i="17"/>
  <c r="T26" i="17" s="1"/>
  <c r="T30" i="17" s="1"/>
  <c r="BG16" i="13"/>
  <c r="BE16" i="13"/>
  <c r="X32" i="20"/>
  <c r="G30" i="14"/>
  <c r="G23" i="14"/>
  <c r="G23" i="12" l="1"/>
  <c r="BF12" i="8"/>
  <c r="BA14" i="8"/>
  <c r="AY14" i="8"/>
  <c r="I10" i="3"/>
  <c r="E10" i="3"/>
  <c r="M14" i="2"/>
  <c r="N14" i="2"/>
  <c r="N23" i="2"/>
  <c r="H28" i="2"/>
  <c r="M23" i="2"/>
  <c r="K30" i="2"/>
  <c r="H21" i="2"/>
  <c r="BF17" i="8"/>
  <c r="B16" i="6"/>
  <c r="BD12" i="8"/>
  <c r="R8" i="9"/>
  <c r="X12" i="21" s="1"/>
  <c r="T18" i="11"/>
  <c r="BH11" i="16"/>
  <c r="S20" i="14"/>
  <c r="V20" i="14" s="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3" i="17"/>
  <c r="S13" i="17" s="1"/>
  <c r="AS14" i="8"/>
  <c r="H13" i="10"/>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L9" i="11" l="1"/>
  <c r="BH21" i="16"/>
  <c r="BF11" i="11"/>
  <c r="K9" i="12"/>
  <c r="BH9" i="16"/>
  <c r="V16" i="11"/>
  <c r="BF13" i="11"/>
  <c r="BG25" i="11"/>
  <c r="BH16" i="16"/>
  <c r="Q18" i="20"/>
  <c r="Q23" i="20" s="1"/>
  <c r="BF28" i="11"/>
  <c r="BF18" i="11"/>
  <c r="BG20" i="11"/>
  <c r="BG22" i="11"/>
  <c r="BK29" i="11"/>
  <c r="AZ19" i="11"/>
  <c r="BK21" i="11"/>
  <c r="V11" i="11"/>
  <c r="BI25" i="11"/>
  <c r="BM12" i="11"/>
  <c r="V13" i="11"/>
  <c r="V9" i="11"/>
  <c r="BI19" i="11"/>
  <c r="BJ16" i="11"/>
  <c r="AP22" i="20"/>
  <c r="AP16" i="20"/>
  <c r="AZ13" i="11"/>
  <c r="V20" i="11"/>
  <c r="BL25" i="11"/>
  <c r="P25" i="11" s="1"/>
  <c r="BG19" i="11"/>
  <c r="AZ9" i="11"/>
  <c r="AP26" i="21"/>
  <c r="BM20" i="11"/>
  <c r="AP18" i="20"/>
  <c r="BJ28" i="11"/>
  <c r="BG21" i="11"/>
  <c r="BU28" i="17"/>
  <c r="BU25" i="17"/>
  <c r="BU11" i="17"/>
  <c r="BV28" i="16"/>
  <c r="BW9" i="20"/>
  <c r="BV13" i="16"/>
  <c r="BU21" i="17"/>
  <c r="BW13" i="20"/>
  <c r="BV17" i="16"/>
  <c r="BV21" i="16"/>
  <c r="BW17" i="20"/>
  <c r="BU29" i="17"/>
  <c r="BV25" i="16"/>
  <c r="BV11" i="16"/>
  <c r="BW16" i="20"/>
  <c r="BU20" i="17"/>
  <c r="U10" i="17"/>
  <c r="BW29" i="20"/>
  <c r="BV10" i="16"/>
  <c r="BW22" i="20"/>
  <c r="BU18" i="17"/>
  <c r="BV29" i="16"/>
  <c r="S11" i="17"/>
  <c r="BU17" i="17"/>
  <c r="BV20" i="16"/>
  <c r="AZ22" i="11"/>
  <c r="AA20" i="16"/>
  <c r="R28" i="14"/>
  <c r="AZ17" i="11"/>
  <c r="X16" i="17"/>
  <c r="BF20" i="11"/>
  <c r="T17" i="11"/>
  <c r="S16" i="16"/>
  <c r="P16" i="17"/>
  <c r="P23" i="17" s="1"/>
  <c r="P31" i="17" s="1"/>
  <c r="BL20" i="11"/>
  <c r="Q20" i="11" s="1"/>
  <c r="BF12" i="11"/>
  <c r="BL16" i="11"/>
  <c r="BH25" i="16"/>
  <c r="BH21" i="11"/>
  <c r="BK20" i="11"/>
  <c r="AZ25" i="11"/>
  <c r="AZ30" i="11" s="1"/>
  <c r="BJ10" i="11"/>
  <c r="BK17" i="11"/>
  <c r="Q16" i="17"/>
  <c r="BM18" i="11"/>
  <c r="BF16" i="11"/>
  <c r="BH17" i="11"/>
  <c r="BL22" i="11"/>
  <c r="AQ12" i="21"/>
  <c r="BI22" i="11"/>
  <c r="BH25" i="11"/>
  <c r="BK10" i="11"/>
  <c r="BL19" i="11"/>
  <c r="BJ18" i="11"/>
  <c r="BM17" i="11"/>
  <c r="BF21" i="11"/>
  <c r="BF17" i="11"/>
  <c r="BL12" i="11"/>
  <c r="BK11" i="11"/>
  <c r="AP10" i="21"/>
  <c r="BH20" i="16"/>
  <c r="BH22" i="16"/>
  <c r="BJ20" i="11"/>
  <c r="BH13" i="11"/>
  <c r="BH18" i="11"/>
  <c r="T18" i="16"/>
  <c r="BL29" i="11"/>
  <c r="P29" i="11" s="1"/>
  <c r="T16" i="16"/>
  <c r="BW20" i="20"/>
  <c r="BV19" i="16"/>
  <c r="BV18" i="16"/>
  <c r="BW18" i="20"/>
  <c r="BV12" i="16"/>
  <c r="BW12" i="20"/>
  <c r="BV16" i="16"/>
  <c r="BW11" i="20"/>
  <c r="S21" i="17"/>
  <c r="BW28" i="20"/>
  <c r="BU13" i="17"/>
  <c r="BW21" i="20"/>
  <c r="BV9" i="16"/>
  <c r="AA29" i="16"/>
  <c r="AA18" i="16"/>
  <c r="AZ12" i="11"/>
  <c r="AZ11" i="11"/>
  <c r="Q18" i="17"/>
  <c r="BH10" i="11"/>
  <c r="AQ10" i="21"/>
  <c r="AO29" i="17"/>
  <c r="S10" i="17"/>
  <c r="BI29" i="11"/>
  <c r="BG17" i="11"/>
  <c r="BM21" i="11"/>
  <c r="P21" i="11" s="1"/>
  <c r="AO25" i="17"/>
  <c r="BJ17" i="11"/>
  <c r="BI21" i="11"/>
  <c r="L22" i="2"/>
  <c r="L29" i="2"/>
  <c r="L16" i="2"/>
  <c r="L17" i="2"/>
  <c r="X19" i="16"/>
  <c r="L18" i="2"/>
  <c r="L20" i="2"/>
  <c r="AA11" i="16"/>
  <c r="L21" i="2"/>
  <c r="AA9" i="16"/>
  <c r="V9" i="16"/>
  <c r="AP17" i="20"/>
  <c r="BJ22" i="11"/>
  <c r="BG10" i="11"/>
  <c r="V11" i="16"/>
  <c r="V25" i="11"/>
  <c r="BF10" i="11"/>
  <c r="AZ18" i="11"/>
  <c r="AP21" i="20"/>
  <c r="BJ11" i="11"/>
  <c r="R10" i="21"/>
  <c r="R14" i="21" s="1"/>
  <c r="R31" i="21" s="1"/>
  <c r="BG16" i="11"/>
  <c r="BL13" i="11"/>
  <c r="BM16" i="11"/>
  <c r="AO28" i="17"/>
  <c r="BJ25" i="11"/>
  <c r="AZ16" i="11"/>
  <c r="AZ23" i="11" s="1"/>
  <c r="AZ26" i="11" s="1"/>
  <c r="BU16" i="17"/>
  <c r="BW19" i="20"/>
  <c r="X20" i="16"/>
  <c r="BU10" i="17"/>
  <c r="BW25" i="20"/>
  <c r="BU22" i="17"/>
  <c r="X21" i="16"/>
  <c r="BU9" i="17"/>
  <c r="BU19" i="17"/>
  <c r="BW10" i="20"/>
  <c r="BV22" i="16"/>
  <c r="BU12" i="17"/>
  <c r="S25" i="17"/>
  <c r="AZ20" i="11"/>
  <c r="BG12" i="11"/>
  <c r="BI9" i="11"/>
  <c r="BL10" i="11"/>
  <c r="BH11" i="11"/>
  <c r="BM9" i="11"/>
  <c r="Q9" i="11" s="1"/>
  <c r="BK22" i="11"/>
  <c r="L28" i="2"/>
  <c r="X21" i="20"/>
  <c r="S16" i="17"/>
  <c r="L12" i="2"/>
  <c r="L13" i="2"/>
  <c r="U9" i="17"/>
  <c r="U31" i="17" s="1"/>
  <c r="X13" i="16"/>
  <c r="S11" i="14"/>
  <c r="V11" i="14" s="1"/>
  <c r="BI20" i="11"/>
  <c r="BL28" i="11"/>
  <c r="BH10" i="16"/>
  <c r="S18" i="17"/>
  <c r="BH12" i="16"/>
  <c r="BL17" i="11"/>
  <c r="BH22" i="11"/>
  <c r="L10" i="2"/>
  <c r="S17" i="17"/>
  <c r="L25" i="2"/>
  <c r="X10" i="21"/>
  <c r="L19" i="2"/>
  <c r="L9" i="2"/>
  <c r="V25" i="16"/>
  <c r="BF23" i="13"/>
  <c r="I16" i="12"/>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Q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BV14" i="16"/>
  <c r="D31" i="12"/>
  <c r="I18" i="12"/>
  <c r="BE14" i="8"/>
  <c r="BW33" i="20"/>
  <c r="Q21" i="11"/>
  <c r="P9" i="11"/>
  <c r="Q29" i="11"/>
  <c r="Q10" i="11"/>
  <c r="D11" i="6"/>
  <c r="E11" i="3"/>
  <c r="BC26" i="8"/>
  <c r="BF26" i="8" s="1"/>
  <c r="R16" i="14"/>
  <c r="BH17" i="16"/>
  <c r="AO27" i="17"/>
  <c r="AM18" i="11"/>
  <c r="BI17" i="1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BJ23" i="11" l="1"/>
  <c r="BV23" i="16"/>
  <c r="BV26" i="16" s="1"/>
  <c r="BV30" i="16" s="1"/>
  <c r="P17" i="11"/>
  <c r="BK23" i="11"/>
  <c r="AQ17" i="11"/>
  <c r="P13" i="11"/>
  <c r="Q13" i="11"/>
  <c r="AZ14" i="11"/>
  <c r="AZ31" i="11"/>
  <c r="BI23" i="11"/>
  <c r="U14" i="17"/>
  <c r="P20" i="11"/>
  <c r="Q25" i="11"/>
  <c r="BK14" i="11"/>
  <c r="BK31" i="11" s="1"/>
  <c r="Q23" i="17"/>
  <c r="Q31" i="17" s="1"/>
  <c r="S26" i="14"/>
  <c r="K22" i="12"/>
  <c r="AF31" i="11"/>
  <c r="AE31" i="11"/>
  <c r="I21" i="12"/>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AK32" i="16"/>
  <c r="AB32" i="16"/>
  <c r="AI32" i="11"/>
  <c r="S32" i="16"/>
  <c r="E32" i="21"/>
  <c r="D32" i="12"/>
  <c r="L32" i="21"/>
  <c r="Y32" i="11"/>
  <c r="AK32" i="17"/>
  <c r="Z32" i="16"/>
  <c r="AW32" i="21"/>
  <c r="O32" i="16"/>
  <c r="H32" i="12"/>
  <c r="BE32" i="16"/>
  <c r="AT32" i="16"/>
  <c r="AI32" i="21"/>
  <c r="AE32" i="11"/>
  <c r="BM32" i="16"/>
  <c r="I32" i="21"/>
  <c r="AB32" i="17"/>
  <c r="BS32" i="16"/>
  <c r="F32" i="21"/>
  <c r="AR32" i="21"/>
  <c r="M32" i="17"/>
  <c r="AL32" i="17"/>
  <c r="Z32" i="11"/>
  <c r="AS32" i="17"/>
  <c r="BQ32" i="16"/>
  <c r="G32" i="12"/>
  <c r="AM32" i="21"/>
  <c r="E32" i="17"/>
  <c r="AM32" i="16"/>
  <c r="AV32" i="11"/>
  <c r="AR32" i="16"/>
  <c r="F32" i="17"/>
  <c r="AH32" i="21"/>
  <c r="U32" i="16"/>
  <c r="AS32" i="21"/>
  <c r="AC32" i="21"/>
  <c r="AL32" i="11"/>
  <c r="T32" i="16"/>
  <c r="P32" i="17"/>
  <c r="BD32" i="21"/>
  <c r="AO32" i="21"/>
  <c r="V32" i="20"/>
  <c r="AA32" i="16"/>
  <c r="E32" i="11"/>
  <c r="AF32" i="16"/>
  <c r="AA32" i="17"/>
  <c r="X32" i="17"/>
  <c r="U32" i="11"/>
  <c r="AH32" i="17"/>
  <c r="AK32" i="21"/>
  <c r="U32" i="17"/>
  <c r="Q32" i="17"/>
  <c r="V32" i="21"/>
  <c r="E32" i="12"/>
  <c r="AD32" i="21"/>
  <c r="Y32" i="21"/>
  <c r="Y32" i="17"/>
  <c r="P32" i="21"/>
  <c r="AK32" i="11"/>
  <c r="H32" i="16"/>
  <c r="L32" i="16"/>
  <c r="AU32" i="16"/>
  <c r="AN32" i="11"/>
  <c r="N32" i="11"/>
  <c r="AU32" i="11"/>
  <c r="AS32" i="16"/>
  <c r="AG32" i="17"/>
  <c r="I32" i="11"/>
  <c r="AR32" i="11"/>
  <c r="AV32" i="16"/>
  <c r="AJ32" i="21"/>
  <c r="F31" i="2" l="1"/>
  <c r="BM31" i="1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<sst xmlns="http://schemas.openxmlformats.org/spreadsheetml/2006/main" count="2682" uniqueCount="1193">
  <si>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</si>
  <si>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</si>
  <si>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</si>
  <si>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</si>
  <si>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</si>
  <si>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</si>
  <si>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</si>
  <si>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</si>
  <si>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</si>
  <si>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</si>
  <si>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</si>
  <si>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</si>
  <si>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</si>
  <si>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</si>
  <si>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</si>
  <si>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</si>
  <si>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</si>
  <si>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</si>
  <si>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</si>
  <si>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</si>
  <si>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</si>
  <si>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</si>
  <si>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</si>
  <si>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</si>
  <si>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</si>
  <si>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</si>
  <si>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</si>
  <si>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</si>
  <si>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</si>
  <si>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</si>
  <si>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</si>
  <si>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</si>
  <si>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</si>
  <si>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</si>
  <si>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</si>
  <si>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</si>
  <si>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</si>
  <si>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</si>
  <si>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</si>
  <si>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</si>
  <si>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</si>
  <si>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</si>
  <si>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</si>
  <si>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</si>
  <si>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</si>
  <si>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</si>
  <si>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</si>
  <si>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</si>
  <si>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</si>
  <si>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</si>
  <si>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</si>
  <si>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</si>
  <si>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</si>
  <si>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</si>
  <si>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</si>
  <si>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</si>
  <si>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</si>
  <si>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</si>
  <si>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</si>
  <si>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</si>
  <si>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</si>
  <si>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</si>
  <si>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</si>
  <si>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</si>
  <si>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</si>
  <si>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</si>
  <si>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</si>
  <si>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</si>
  <si>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</si>
  <si>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</si>
  <si>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</si>
  <si>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</si>
  <si>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</si>
  <si>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</si>
  <si>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</si>
  <si>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</si>
  <si>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</si>
  <si>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</si>
  <si>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</si>
  <si>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</si>
  <si>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</si>
  <si>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</si>
  <si>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</si>
  <si>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</si>
  <si>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</si>
  <si>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</si>
  <si>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</si>
  <si>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</si>
  <si>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</si>
  <si>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</si>
  <si>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</si>
  <si>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</si>
  <si>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</si>
  <si>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</si>
  <si>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</si>
  <si>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</si>
  <si>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</si>
  <si>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</si>
  <si>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</si>
  <si>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</si>
  <si>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</si>
  <si>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</si>
  <si>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</si>
  <si>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</si>
  <si>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</si>
  <si>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</si>
  <si>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</si>
  <si>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</si>
  <si>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</si>
  <si>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</si>
  <si>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</si>
  <si>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</si>
  <si>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</si>
  <si>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</si>
  <si>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</si>
  <si>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</si>
  <si>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</si>
  <si>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</si>
  <si>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</si>
  <si>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</si>
  <si>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</si>
  <si>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</si>
  <si>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</si>
  <si>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</si>
  <si>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</si>
  <si>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</si>
  <si>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</si>
  <si>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</si>
  <si>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</si>
  <si>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</si>
  <si>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</si>
  <si>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</si>
  <si>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</si>
  <si>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</si>
  <si>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</si>
  <si>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</si>
  <si>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</si>
  <si>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</si>
  <si>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</si>
  <si>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</si>
  <si>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</si>
  <si>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</si>
  <si>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</si>
  <si>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</si>
  <si>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</si>
  <si>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</si>
  <si>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</si>
  <si>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</si>
  <si>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</si>
  <si>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</si>
  <si>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</si>
  <si>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</si>
  <si>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</si>
  <si>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</si>
  <si>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</si>
  <si>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</si>
  <si>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</si>
  <si>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</si>
  <si>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</si>
  <si>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</si>
  <si>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</si>
  <si>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</si>
  <si>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</si>
  <si>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</si>
  <si>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</si>
  <si>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</si>
  <si>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</si>
  <si>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</si>
  <si>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</si>
  <si>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</si>
  <si>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</si>
  <si>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</si>
  <si>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</si>
  <si>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</si>
  <si>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</si>
  <si>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</si>
  <si>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</si>
  <si>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</si>
  <si>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</si>
  <si>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</si>
  <si>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</si>
  <si>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</si>
  <si>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</si>
  <si>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</si>
  <si>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</si>
  <si>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</si>
  <si>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</si>
  <si>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</si>
  <si>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</si>
  <si>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</si>
  <si>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</si>
  <si>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</si>
  <si>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</si>
  <si>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</si>
  <si>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</si>
  <si>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</si>
  <si>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</si>
  <si>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</si>
  <si>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</si>
  <si>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</si>
  <si>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</si>
  <si>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</si>
  <si>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</si>
  <si>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</si>
  <si>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</si>
  <si>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</si>
  <si>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</si>
  <si>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</si>
  <si>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</si>
  <si>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</si>
  <si>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</si>
  <si>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</si>
  <si>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</si>
  <si>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</si>
  <si>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</si>
  <si>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</si>
  <si>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</si>
  <si>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</si>
  <si>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</si>
  <si>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</si>
  <si>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</si>
  <si>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</si>
  <si>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</si>
  <si>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</si>
  <si>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</si>
  <si>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</si>
  <si>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</si>
  <si>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</si>
  <si>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</si>
  <si>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</si>
  <si>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</si>
  <si>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</si>
  <si>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</si>
  <si>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</si>
  <si>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</si>
  <si>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</si>
  <si>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</si>
  <si>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</si>
  <si>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</si>
  <si>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</si>
  <si>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</si>
  <si>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</si>
  <si>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</si>
  <si>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</si>
  <si>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</si>
  <si>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</si>
  <si>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</si>
  <si>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</si>
  <si>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</si>
  <si>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</si>
  <si>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</si>
  <si>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</si>
  <si>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</si>
  <si>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</si>
  <si>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</si>
  <si>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</si>
  <si>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</si>
  <si>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</si>
  <si>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</si>
  <si>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</si>
  <si>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</si>
  <si>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</si>
  <si>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</si>
  <si>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</si>
  <si>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</si>
  <si>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</si>
  <si>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</si>
  <si>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</si>
  <si>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</si>
  <si>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</si>
  <si>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</si>
  <si>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</si>
  <si>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</si>
  <si>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</si>
  <si>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</si>
  <si>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</si>
  <si>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</si>
  <si>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</si>
  <si>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</si>
  <si>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</si>
  <si>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</si>
  <si>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</si>
  <si>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</si>
  <si>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</si>
  <si>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</si>
  <si>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</si>
  <si>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</si>
  <si>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</si>
  <si>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</si>
  <si>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</si>
  <si>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</si>
  <si>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</si>
  <si>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</si>
  <si>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</si>
  <si>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</si>
  <si>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</si>
  <si>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</si>
  <si>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</si>
  <si>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</si>
  <si>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</si>
  <si>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</si>
  <si>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</si>
  <si>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</si>
  <si>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</si>
  <si>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</si>
  <si>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</si>
  <si>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</si>
  <si>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</si>
  <si>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</si>
  <si>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</si>
  <si>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</si>
  <si>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</si>
  <si>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</si>
  <si>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</si>
  <si>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</si>
  <si>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</si>
  <si>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</si>
  <si>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</si>
  <si>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</si>
  <si>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</si>
  <si>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</si>
  <si>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</si>
  <si>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</si>
  <si>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</si>
  <si>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</si>
  <si>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</si>
  <si>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</si>
  <si>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</si>
  <si>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</si>
  <si>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</si>
  <si>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</si>
  <si>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</si>
  <si>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</si>
  <si>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</si>
  <si>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</si>
  <si>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</si>
  <si>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</si>
  <si>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</si>
  <si>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</si>
  <si>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</si>
  <si>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</si>
  <si>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</si>
  <si>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</si>
  <si>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</si>
  <si>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</si>
  <si>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</si>
  <si>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</si>
  <si>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</si>
  <si>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</si>
  <si>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</si>
  <si>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</si>
  <si>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</si>
  <si>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</si>
  <si>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</si>
  <si>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</si>
  <si>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</si>
  <si>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</si>
  <si>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</si>
  <si>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</si>
  <si>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</si>
  <si>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</si>
  <si>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</si>
  <si>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</si>
  <si>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</si>
  <si>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</si>
  <si>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</si>
  <si>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</si>
  <si>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</si>
  <si>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</si>
  <si>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</si>
  <si>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</si>
  <si>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</si>
  <si>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</si>
  <si>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</si>
  <si>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</si>
  <si>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</si>
  <si>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</si>
  <si>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</si>
  <si>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</si>
  <si>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</si>
  <si>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</si>
  <si>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</si>
  <si>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</si>
  <si>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</si>
  <si>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</si>
  <si>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</si>
  <si>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</si>
  <si>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</si>
  <si>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</si>
  <si>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</si>
  <si>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</si>
  <si>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</si>
  <si>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</si>
  <si>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</si>
  <si>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</si>
  <si>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</si>
  <si>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</si>
  <si>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</si>
  <si>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</si>
  <si>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</si>
  <si>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</si>
  <si>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</si>
  <si>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</si>
  <si>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</si>
  <si>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</si>
  <si>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</si>
  <si>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</si>
  <si>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</si>
  <si>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</si>
  <si>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</si>
  <si>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</si>
  <si>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</si>
  <si>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</si>
  <si>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</si>
  <si>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</si>
  <si>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</si>
  <si>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</si>
  <si>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</si>
  <si>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</si>
  <si>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</si>
  <si>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</si>
  <si>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</si>
  <si>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</si>
  <si>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</si>
  <si>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</si>
  <si>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</si>
  <si>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</si>
  <si>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</si>
  <si>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</si>
  <si>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</si>
  <si>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</si>
  <si>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</si>
  <si>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</si>
  <si>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</si>
  <si>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</si>
  <si>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</si>
  <si>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</si>
  <si>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</si>
  <si>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</si>
  <si>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</si>
  <si>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</si>
  <si>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</si>
  <si>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</si>
  <si>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</si>
  <si>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</si>
  <si>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</si>
  <si>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</si>
  <si>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</si>
  <si>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</si>
  <si>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</si>
  <si>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</si>
  <si>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</si>
  <si>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</si>
  <si>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</si>
  <si>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</si>
  <si>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</si>
  <si>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</si>
  <si>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</si>
  <si>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</si>
  <si>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</si>
  <si>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</si>
  <si>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</si>
  <si>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</si>
  <si>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</si>
  <si>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</si>
  <si>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</si>
  <si>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</si>
  <si>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</si>
  <si>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</si>
  <si>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</si>
  <si>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</si>
  <si>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</si>
  <si>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</si>
  <si>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</si>
  <si>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</si>
  <si>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</si>
  <si>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</si>
  <si>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</si>
  <si>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</si>
  <si>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</si>
  <si>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</si>
  <si>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</si>
  <si>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</si>
  <si>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</si>
  <si>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</si>
  <si>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</si>
  <si>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</si>
  <si>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</si>
  <si>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</si>
  <si>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</si>
  <si>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</si>
  <si>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</si>
  <si>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</si>
  <si>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</si>
  <si>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</si>
  <si>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</si>
  <si>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</si>
  <si>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</si>
  <si>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</si>
  <si>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</si>
  <si>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</si>
  <si>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</si>
  <si>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</si>
  <si>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</si>
  <si>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</si>
  <si>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</si>
  <si>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</si>
  <si>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</si>
  <si>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</si>
  <si>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</si>
  <si>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</si>
  <si>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</si>
  <si>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</si>
  <si>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</si>
  <si>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</si>
  <si>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</si>
  <si>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</si>
  <si>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</si>
  <si>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</si>
  <si>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</si>
  <si>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</si>
  <si>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</si>
  <si>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</si>
  <si>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</si>
  <si>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</si>
  <si>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</si>
  <si>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</si>
  <si>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</si>
  <si>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</si>
  <si>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</si>
  <si>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</si>
  <si>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</si>
  <si>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</si>
  <si>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</si>
  <si>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</si>
  <si>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</si>
  <si>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</si>
  <si>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</si>
  <si>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</si>
  <si>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</si>
  <si>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</si>
  <si>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</si>
  <si>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</si>
  <si>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</si>
  <si>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</si>
  <si>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</si>
  <si>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</si>
  <si>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</si>
  <si>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</si>
  <si>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</si>
  <si>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</si>
  <si>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</si>
  <si>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</si>
  <si>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</si>
  <si>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</si>
  <si>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</si>
  <si>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</si>
  <si>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</si>
  <si>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</si>
  <si>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</si>
  <si>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</si>
  <si>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</si>
  <si>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</si>
  <si>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</si>
  <si>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</si>
  <si>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</si>
  <si>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</si>
  <si>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</si>
  <si>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</si>
  <si>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</si>
  <si>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</si>
  <si>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</si>
  <si>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</si>
  <si>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</si>
  <si>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</si>
  <si>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</si>
  <si>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</si>
  <si>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</si>
  <si>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</si>
  <si>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</si>
  <si>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</si>
  <si>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</si>
  <si>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</si>
  <si>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</si>
  <si>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</si>
  <si>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</si>
  <si>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</si>
  <si>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</si>
  <si>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</si>
  <si>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</si>
  <si>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</si>
  <si>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</si>
  <si>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</si>
  <si>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</si>
  <si>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</si>
  <si>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</si>
  <si>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</si>
  <si>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</si>
  <si>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</si>
  <si>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</si>
  <si>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</si>
  <si>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</si>
  <si>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</si>
  <si>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</si>
  <si>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</si>
  <si>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</si>
  <si>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</si>
  <si>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</si>
  <si>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</si>
  <si>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</si>
  <si>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</si>
  <si>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</si>
  <si>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</si>
  <si>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</si>
  <si>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</si>
  <si>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</si>
  <si>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</si>
  <si>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</si>
  <si>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</si>
  <si>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</si>
  <si>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</si>
  <si>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</si>
  <si>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</si>
  <si>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</si>
  <si>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</si>
  <si>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</si>
  <si>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</si>
  <si>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</si>
  <si>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</si>
  <si>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</si>
  <si>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</si>
  <si>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</si>
  <si>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</si>
  <si>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</si>
  <si>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</si>
  <si>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</si>
  <si>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</si>
  <si>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</si>
  <si>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</si>
  <si>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</si>
  <si>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</si>
  <si>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</si>
  <si>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</si>
  <si>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</si>
  <si>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</si>
  <si>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</si>
  <si>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</si>
  <si>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</si>
  <si>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</si>
  <si>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</si>
  <si>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</si>
  <si>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</si>
  <si>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</si>
  <si>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</si>
  <si>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</si>
  <si>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</si>
  <si>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</si>
  <si>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</si>
  <si>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</si>
  <si>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</si>
  <si>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</si>
  <si>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</si>
  <si>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</si>
  <si>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</si>
  <si>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</si>
  <si>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</si>
  <si>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</si>
  <si>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</si>
  <si>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</si>
  <si>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</si>
  <si>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</si>
  <si>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</si>
  <si>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</si>
  <si>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</si>
  <si>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</si>
  <si>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</si>
  <si>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</si>
  <si>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</si>
  <si>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</si>
  <si>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</si>
  <si>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</si>
  <si>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</si>
  <si>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</si>
  <si>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</si>
  <si>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</si>
  <si>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</si>
  <si>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</si>
  <si>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</si>
  <si>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</si>
  <si>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</si>
  <si>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</si>
  <si>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</si>
  <si>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</si>
  <si>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</si>
  <si>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</si>
  <si>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</si>
  <si>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</si>
  <si>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</si>
  <si>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</si>
  <si>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</si>
  <si>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</si>
  <si>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</si>
  <si>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</si>
  <si>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</si>
  <si>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</si>
  <si>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</si>
  <si>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</si>
  <si>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</si>
  <si>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</si>
  <si>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</si>
  <si>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</si>
  <si>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</si>
  <si>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</si>
  <si>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</si>
  <si>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</si>
  <si>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</si>
  <si>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</si>
  <si>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</si>
  <si>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</si>
  <si>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</si>
  <si>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</si>
  <si>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</si>
  <si>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</si>
  <si>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</si>
  <si>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</si>
  <si>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</si>
  <si>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</si>
  <si>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</si>
  <si>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</si>
  <si>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</si>
  <si>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</si>
  <si>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</si>
  <si>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</si>
  <si>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</si>
  <si>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</si>
  <si>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</si>
  <si>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</si>
  <si>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</si>
  <si>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</si>
  <si>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</si>
  <si>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</si>
  <si>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</si>
  <si>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</si>
  <si>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</si>
  <si>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</si>
  <si>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</si>
  <si>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</si>
  <si>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</si>
  <si>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</si>
  <si>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</si>
  <si>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</si>
  <si>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</si>
  <si>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</si>
  <si>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</si>
  <si>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</si>
  <si>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</si>
  <si>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</si>
  <si>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</si>
  <si>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</si>
  <si>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</si>
  <si>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</si>
  <si>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</si>
  <si>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</si>
  <si>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</si>
  <si>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</si>
  <si>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</si>
  <si>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</si>
  <si>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</si>
  <si>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</si>
  <si>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</si>
  <si>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</si>
  <si>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</si>
  <si>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</si>
  <si>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</si>
  <si>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</si>
  <si>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</si>
  <si>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</si>
  <si>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</si>
  <si>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</si>
  <si>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</si>
  <si>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</si>
  <si>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</si>
  <si>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</si>
  <si>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</si>
  <si>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</si>
  <si>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</si>
  <si>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</si>
  <si>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</si>
  <si>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</si>
  <si>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</si>
  <si>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</si>
  <si>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</si>
  <si>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</si>
  <si>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</si>
  <si>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</si>
  <si>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</si>
  <si>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</si>
  <si>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</si>
  <si>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</si>
  <si>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</si>
  <si>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</si>
  <si>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</si>
  <si>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</si>
  <si>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</si>
  <si>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</si>
  <si>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</si>
  <si>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</si>
  <si>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</si>
  <si>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</si>
  <si>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</si>
  <si>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</si>
  <si>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</si>
  <si>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</si>
  <si>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</si>
  <si>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</si>
  <si>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</si>
  <si>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</si>
  <si>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</si>
  <si>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</si>
  <si>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</si>
  <si>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</si>
  <si>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</si>
  <si>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</si>
  <si>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</si>
  <si>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</si>
  <si>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</si>
  <si>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</si>
  <si>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</si>
  <si>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</si>
  <si>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</si>
  <si>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</si>
  <si>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</si>
  <si>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</si>
  <si>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</si>
  <si>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</si>
  <si>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</si>
  <si>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</si>
  <si>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</si>
  <si>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</si>
  <si>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</si>
  <si>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</si>
  <si>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</si>
  <si>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</si>
  <si>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</si>
  <si>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</si>
  <si>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</si>
  <si>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</si>
  <si>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</si>
  <si>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</si>
  <si>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</si>
  <si>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</si>
  <si>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</si>
  <si>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</si>
  <si>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</si>
  <si>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</si>
  <si>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</si>
  <si>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</si>
  <si>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</si>
  <si>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</si>
  <si>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</si>
  <si>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</si>
  <si>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</si>
  <si>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</si>
  <si>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</si>
  <si>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</si>
  <si>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</si>
  <si>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</si>
  <si>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</si>
  <si>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</si>
  <si>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</si>
  <si>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</si>
  <si>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</si>
  <si>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</si>
  <si>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</si>
  <si>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</si>
  <si>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</si>
  <si>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</si>
  <si>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</si>
  <si>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</si>
  <si>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</si>
  <si>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</si>
  <si>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</si>
  <si>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</si>
  <si>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</si>
  <si>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</si>
  <si>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</si>
  <si>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</si>
  <si>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</si>
  <si>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</si>
  <si>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</si>
  <si>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</si>
  <si>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</si>
  <si>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</si>
  <si>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</si>
  <si>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</si>
  <si>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</si>
  <si>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</si>
  <si>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</si>
  <si>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</si>
  <si>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</si>
  <si>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</si>
  <si>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</si>
  <si>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</si>
  <si>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</si>
  <si>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</si>
  <si>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</si>
  <si>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</si>
  <si>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</si>
  <si>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</si>
  <si>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</si>
  <si>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</si>
  <si>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</si>
  <si>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</si>
  <si>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</si>
  <si>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</si>
  <si>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</si>
  <si>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</si>
  <si>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</si>
  <si>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</si>
  <si>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</si>
  <si>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</si>
  <si>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</si>
  <si>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</si>
  <si>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</si>
  <si>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</si>
  <si>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</si>
  <si>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</si>
  <si>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</si>
  <si>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</si>
  <si>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</si>
  <si>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</si>
  <si>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</si>
  <si>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</si>
  <si>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</si>
  <si>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</si>
  <si>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</si>
  <si>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</si>
  <si>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</si>
  <si>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</si>
  <si>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</si>
  <si>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</si>
  <si>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</si>
  <si>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</si>
  <si>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</si>
  <si>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</si>
  <si>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</si>
  <si>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</si>
  <si>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</si>
  <si>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</si>
  <si>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</si>
  <si>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</si>
  <si>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</si>
  <si>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</si>
  <si>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</si>
  <si>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</si>
  <si>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</si>
  <si>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</si>
  <si>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</si>
  <si>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</si>
  <si>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</si>
  <si>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</si>
  <si>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</si>
  <si>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</si>
  <si>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</si>
  <si>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</si>
  <si>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</si>
  <si>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</si>
  <si>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</si>
  <si>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</si>
  <si>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</si>
  <si>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</si>
  <si>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</si>
  <si>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</si>
  <si>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</si>
  <si>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</si>
  <si>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</si>
  <si>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</si>
  <si>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</si>
  <si>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</si>
  <si>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</si>
  <si>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</si>
  <si>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</si>
  <si>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</si>
  <si>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</si>
  <si>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</si>
  <si>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</si>
  <si>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</si>
  <si>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</si>
  <si>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</si>
  <si>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</si>
  <si>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</si>
  <si>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</si>
  <si>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</si>
  <si>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</si>
  <si>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</si>
  <si>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</si>
  <si>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</si>
  <si>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</si>
  <si>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</si>
  <si>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</si>
  <si>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</si>
  <si>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</si>
  <si>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</si>
  <si>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</si>
  <si>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</si>
  <si>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</si>
  <si>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</si>
  <si>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</si>
  <si>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</si>
  <si>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</si>
  <si>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</si>
  <si>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</si>
  <si>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</si>
  <si>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</si>
  <si>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</si>
  <si>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</si>
  <si>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</si>
  <si>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</si>
  <si>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</si>
  <si>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</si>
  <si>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</si>
  <si>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</si>
  <si>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</si>
  <si>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</si>
  <si>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</si>
  <si>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</si>
  <si>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</si>
  <si>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</si>
  <si>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</si>
  <si>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</si>
  <si>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</si>
  <si>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</si>
  <si>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</si>
  <si>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</si>
  <si>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</si>
  <si>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</si>
  <si>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</si>
  <si>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</si>
  <si>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</si>
  <si>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</si>
  <si>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</si>
  <si>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</si>
  <si>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</si>
  <si>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</si>
  <si>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</si>
  <si>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</si>
  <si>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</si>
  <si>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</si>
  <si>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</si>
  <si>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</si>
  <si>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</si>
  <si>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</si>
  <si>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</si>
  <si>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</si>
  <si>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</si>
  <si>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</si>
  <si>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</si>
  <si>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</si>
  <si>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</si>
  <si>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</si>
  <si>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</si>
  <si>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</si>
  <si>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</si>
  <si>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</si>
  <si>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</si>
  <si>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</si>
  <si>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</si>
  <si>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</si>
  <si>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</si>
  <si>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</si>
  <si>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</si>
  <si>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</si>
  <si>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</si>
  <si>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</si>
  <si>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</si>
  <si>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</si>
  <si>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</si>
  <si>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</si>
  <si>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</si>
  <si>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</si>
  <si>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</si>
  <si>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</si>
  <si>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</si>
  <si>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</si>
  <si>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</si>
  <si>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</si>
  <si>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</si>
  <si>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</si>
  <si>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</si>
  <si>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</si>
  <si>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</si>
  <si>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</si>
  <si>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</si>
  <si>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</si>
  <si>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</si>
  <si>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</si>
  <si>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</si>
  <si>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</si>
  <si>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</si>
  <si>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</si>
  <si>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</si>
  <si>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</si>
  <si>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</si>
  <si>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</si>
  <si>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</si>
  <si>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</si>
  <si>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</si>
  <si>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</si>
  <si>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</si>
  <si>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</si>
  <si>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</si>
  <si>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</si>
  <si>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</si>
  <si>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</si>
  <si>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</si>
  <si>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</si>
  <si>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</si>
  <si>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</si>
  <si>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</si>
  <si>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</si>
  <si>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</si>
  <si>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</si>
  <si>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</si>
  <si>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</si>
  <si>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</si>
  <si>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</si>
  <si>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</si>
  <si>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</si>
  <si>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</si>
  <si>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</si>
  <si>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</si>
  <si>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</si>
  <si>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</si>
  <si>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</si>
  <si>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</si>
  <si>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</si>
  <si>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</si>
  <si>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</si>
  <si>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</si>
  <si>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</si>
  <si>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</si>
  <si>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</si>
  <si>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</si>
  <si>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</si>
  <si>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</si>
  <si>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</si>
  <si>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</si>
  <si>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</si>
  <si>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</si>
  <si>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</si>
  <si>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</si>
  <si>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</si>
  <si>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</si>
  <si>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</si>
  <si>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</si>
  <si>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</si>
  <si>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</si>
  <si>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</si>
  <si>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</si>
  <si>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</si>
  <si>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</si>
  <si>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</si>
  <si>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</si>
  <si>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</si>
  <si>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</si>
  <si>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</si>
  <si>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</si>
  <si>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</si>
  <si>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</si>
  <si>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</si>
  <si>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</si>
  <si>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</si>
  <si>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</si>
  <si>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</si>
  <si>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</si>
  <si>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</si>
  <si>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</si>
  <si>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</si>
  <si>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</si>
  <si>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</si>
  <si>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</si>
  <si>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</si>
  <si>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</si>
  <si>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</si>
  <si>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</si>
  <si>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</si>
  <si>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</si>
  <si>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</si>
  <si>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CANARIAS</t>
  </si>
  <si>
    <t>Provincias</t>
  </si>
  <si>
    <t>SANTA CRUZ DE TENERIFE</t>
  </si>
  <si>
    <t>Resumenes por Partidos Judiciales</t>
  </si>
  <si>
    <t>SAN SEBASTIAN DE LA GOMERA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</si>
</sst>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xsZFgd8K9GUla4LsZ+k1yABYjJoz4ZlR0hGTEqiQlyBq7EZfM60wk5uaPsV2rOUMrDc47lLBeXmYYYjJMRODA==" saltValue="v78zrtM8yzKUcqdGJui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7</v>
      </c>
      <c r="F10" s="240">
        <f>IF(ISNUMBER(Datos!K10),Datos!K10," - ")</f>
        <v>8</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7.956666666666667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7</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421</v>
      </c>
      <c r="D17" s="239">
        <f>IF(ISNUMBER(IF(D_I="SI",Datos!I17,Datos!I17+Datos!AC17)),IF(D_I="SI",Datos!I17,Datos!I17+Datos!AC17)," - ")</f>
        <v>413</v>
      </c>
      <c r="E17" s="240">
        <f>IF(ISNUMBER(IF(D_I="SI",Datos!J17,Datos!J17+Datos!AD17)),IF(D_I="SI",Datos!J17,Datos!J17+Datos!AD17)," - ")</f>
        <v>842</v>
      </c>
      <c r="F17" s="240">
        <f>IF(ISNUMBER(IF(D_I="SI",Datos!K17,Datos!K17+Datos!AE17)),IF(D_I="SI",Datos!K17,Datos!K17+Datos!AE17)," - ")</f>
        <v>863</v>
      </c>
      <c r="G17" s="1390" t="str">
        <f>IF(Datos!E17&lt;&gt;"",Datos!E17,Datos!D17)</f>
        <v>04</v>
      </c>
      <c r="H17" s="241">
        <f>IF(ISNUMBER(IF(D_I="SI",Datos!L17,Datos!L17+Datos!AF17)),IF(D_I="SI",Datos!L17,Datos!L17+Datos!AF17)," - ")</f>
        <v>400</v>
      </c>
      <c r="I17" s="1400" t="str">
        <f>IF(ISNUMBER(Datos!AS17/Datos!BM17),Datos!AS17/Datos!BM17," - ")</f>
        <v xml:space="preserve"> - </v>
      </c>
      <c r="J17" s="1401">
        <f>IF(ISNUMBER(Datos!BY17/Datos!CN17),Datos!BY17/Datos!CN17," - ")</f>
        <v>0</v>
      </c>
      <c r="K17" s="244">
        <f t="shared" si="3"/>
        <v>-4.9881235154394299E-2</v>
      </c>
      <c r="L17" s="1402">
        <f>IF(ISNUMBER(NºAsuntos!I17/NºAsuntos!G17),(NºAsuntos!I17/NºAsuntos!G17)*11," - ")</f>
        <v>5.0984936268829664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14</v>
      </c>
      <c r="E18" s="240">
        <f>IF(ISNUMBER(IF(D_I="SI",Datos!J18,Datos!J18+Datos!AD18)),IF(D_I="SI",Datos!J18,Datos!J18+Datos!AD18)," - ")</f>
        <v>55</v>
      </c>
      <c r="F18" s="240">
        <f>IF(ISNUMBER(IF(D_I="SI",Datos!K18,Datos!K18+Datos!AE18)),IF(D_I="SI",Datos!K18,Datos!K18+Datos!AE18)," - ")</f>
        <v>53</v>
      </c>
      <c r="G18" s="1390" t="str">
        <f>IF(Datos!E18&lt;&gt;"",Datos!E18,Datos!D18)</f>
        <v>37</v>
      </c>
      <c r="H18" s="241">
        <f>IF(ISNUMBER(IF(D_I="SI",Datos!L18,Datos!L18+Datos!AF18)),IF(D_I="SI",Datos!L18,Datos!L18+Datos!AF18)," - ")</f>
        <v>17</v>
      </c>
      <c r="I18" s="1400" t="str">
        <f>IF(ISNUMBER(Datos!AS18/Datos!BM18),Datos!AS18/Datos!BM18," - ")</f>
        <v xml:space="preserve"> - </v>
      </c>
      <c r="J18" s="1401" t="str">
        <f>IF(ISNUMBER((Datos!BY18+Datos!BZ18)/Datos!CN18),(Datos!BY18+Datos!BZ18)/Datos!CN18," - ")</f>
        <v xml:space="preserve"> - </v>
      </c>
      <c r="K18" s="244">
        <f t="shared" si="3"/>
        <v>0.13333333333333333</v>
      </c>
      <c r="L18" s="1402">
        <f>IF(ISNUMBER(NºAsuntos!I18/NºAsuntos!G18),(NºAsuntos!I18/NºAsuntos!G18)*11," - ")</f>
        <v>3.5283018867924527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436</v>
      </c>
      <c r="D23" s="1407">
        <f>SUBTOTAL(9,D16:D22)</f>
        <v>427</v>
      </c>
      <c r="E23" s="1408">
        <f>SUBTOTAL(9,E16:E22)</f>
        <v>897</v>
      </c>
      <c r="F23" s="1408">
        <f>SUBTOTAL(9,F16:F22)</f>
        <v>916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441</v>
      </c>
      <c r="D31" s="1435">
        <f>SUBTOTAL(9,D9:D30)</f>
        <v>432</v>
      </c>
      <c r="E31" s="1436">
        <f>SUBTOTAL(9,E9:E30)</f>
        <v>904</v>
      </c>
      <c r="F31" s="1436">
        <f>SUBTOTAL(9,F9:F30)</f>
        <v>924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iz+sEKTUpA6mQrFyTrUoVwY6S1LPA/UXlMAILNIuINmyTpGt3IKgN+XcKjoN/x2A2lJXFQnZB+pA1Ktg6j7J+Q==" saltValue="gqPfVf709OHa/5fSAi83/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NIo8iKOae0y5JQiv6D8oeg+pDosjFW/NFvG1Je7NWUgx4FJ9Q6obblQx0/Zmzn4KX6B3VX0IcfAGxXh7w1D/g==" saltValue="gqgL2p/CQ59Dq9sn+uDP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7</v>
      </c>
      <c r="K10" s="194">
        <v>8</v>
      </c>
      <c r="L10" s="194">
        <v>4</v>
      </c>
      <c r="M10" s="194">
        <v>2</v>
      </c>
      <c r="N10" s="194">
        <v>1</v>
      </c>
      <c r="O10" s="194">
        <v>5</v>
      </c>
      <c r="P10" s="194">
        <v>0</v>
      </c>
      <c r="Q10" s="194">
        <v>1</v>
      </c>
      <c r="R10" s="194">
        <v>2</v>
      </c>
      <c r="S10" s="194">
        <v>4</v>
      </c>
      <c r="T10" s="194">
        <v>7</v>
      </c>
      <c r="U10" s="194">
        <v>6</v>
      </c>
      <c r="V10" s="194">
        <v>5</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7</v>
      </c>
      <c r="BA10" s="139">
        <f t="shared" si="0"/>
        <v>6</v>
      </c>
      <c r="BB10" s="139">
        <f t="shared" si="0"/>
        <v>5</v>
      </c>
      <c r="BC10" s="135">
        <f t="shared" si="0"/>
        <v>2</v>
      </c>
      <c r="BD10" s="136">
        <f>IF(ISNUMBER(BA10/AZ10),BA10/AZ10," - ")</f>
        <v>0.8571428571428571</v>
      </c>
      <c r="BE10" s="137">
        <f>IF(ISNUMBER(BB10/BA10),BB10/BA10, " - ")</f>
        <v>0.83333333333333337</v>
      </c>
      <c r="BF10" s="137">
        <f>IF(ISNUMBER(BC10/BA10),BC10/BA10, " - ")</f>
        <v>0.33333333333333331</v>
      </c>
      <c r="BG10" s="209">
        <f>IF(ISNUMBER((AY10+AZ10)/BA10),(AY10+AZ10)/BA10," - ")</f>
        <v>1.8333333333333333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349</v>
      </c>
      <c r="J12" s="196">
        <v>609</v>
      </c>
      <c r="K12" s="196">
        <v>550</v>
      </c>
      <c r="L12" s="196">
        <v>408</v>
      </c>
      <c r="M12" s="196">
        <v>139</v>
      </c>
      <c r="N12" s="196">
        <v>207</v>
      </c>
      <c r="O12" s="194">
        <v>348</v>
      </c>
      <c r="P12" s="196">
        <v>145</v>
      </c>
      <c r="Q12" s="196">
        <v>230</v>
      </c>
      <c r="R12" s="196">
        <v>743</v>
      </c>
      <c r="S12" s="196">
        <v>340</v>
      </c>
      <c r="T12" s="196">
        <v>534</v>
      </c>
      <c r="U12" s="196">
        <v>532</v>
      </c>
      <c r="V12" s="196">
        <v>349</v>
      </c>
      <c r="W12" s="196">
        <v>91</v>
      </c>
      <c r="X12" s="202">
        <v>225</v>
      </c>
      <c r="Y12" s="204">
        <v>19</v>
      </c>
      <c r="Z12" s="194">
        <v>57</v>
      </c>
      <c r="AA12" s="194">
        <v>50</v>
      </c>
      <c r="AB12" s="194">
        <v>26</v>
      </c>
      <c r="AC12" s="196">
        <v>0</v>
      </c>
      <c r="AD12" s="196">
        <v>0</v>
      </c>
      <c r="AE12" s="196">
        <v>0</v>
      </c>
      <c r="AF12" s="202">
        <v>0</v>
      </c>
      <c r="AG12" s="215">
        <v>20</v>
      </c>
      <c r="AH12" s="196">
        <v>42</v>
      </c>
      <c r="AI12" s="196">
        <v>43</v>
      </c>
      <c r="AJ12" s="216">
        <v>19</v>
      </c>
      <c r="AK12" s="195">
        <v>0</v>
      </c>
      <c r="AL12" s="196">
        <v>0</v>
      </c>
      <c r="AM12" s="196">
        <v>0</v>
      </c>
      <c r="AN12" s="202">
        <v>0</v>
      </c>
      <c r="AO12" s="283">
        <v>1</v>
      </c>
      <c r="AP12" s="168">
        <v>1</v>
      </c>
      <c r="AQ12" s="168">
        <v>1</v>
      </c>
      <c r="AR12" s="167">
        <v>1</v>
      </c>
      <c r="AS12" s="381" t="s">
        <v>1075</v>
      </c>
      <c r="AT12" s="216"/>
      <c r="AU12" s="215"/>
      <c r="AV12" s="216"/>
      <c r="AW12" s="215"/>
      <c r="AX12" s="216"/>
      <c r="AY12" s="136">
        <f t="shared" si="1"/>
        <v>360</v>
      </c>
      <c r="AZ12" s="137">
        <f t="shared" si="1"/>
        <v>576</v>
      </c>
      <c r="BA12" s="137">
        <f t="shared" si="1"/>
        <v>575</v>
      </c>
      <c r="BB12" s="137">
        <f t="shared" si="1"/>
        <v>368</v>
      </c>
      <c r="BC12" s="135">
        <f>IF(ISNUMBER(X12),X12," - ")</f>
        <v>225</v>
      </c>
      <c r="BD12" s="136">
        <f t="shared" si="2"/>
        <v>0.99826388888888884</v>
      </c>
      <c r="BE12" s="137">
        <f t="shared" si="3"/>
        <v>0.64</v>
      </c>
      <c r="BF12" s="137">
        <f t="shared" si="4"/>
        <v>0.39130434782608697</v>
      </c>
      <c r="BG12" s="209">
        <f t="shared" si="5"/>
        <v>1.6278260869565218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354</v>
      </c>
      <c r="J14" s="197">
        <f t="shared" si="7"/>
        <v>616</v>
      </c>
      <c r="K14" s="197">
        <f t="shared" si="7"/>
        <v>558</v>
      </c>
      <c r="L14" s="197">
        <f t="shared" si="7"/>
        <v>412</v>
      </c>
      <c r="M14" s="197">
        <f t="shared" si="7"/>
        <v>141</v>
      </c>
      <c r="N14" s="197">
        <f t="shared" si="7"/>
        <v>208</v>
      </c>
      <c r="O14" s="197">
        <f t="shared" si="7"/>
        <v>353</v>
      </c>
      <c r="P14" s="197">
        <f t="shared" si="7"/>
        <v>145</v>
      </c>
      <c r="Q14" s="197">
        <f t="shared" si="7"/>
        <v>231</v>
      </c>
      <c r="R14" s="197">
        <f t="shared" si="7"/>
        <v>745</v>
      </c>
      <c r="S14" s="197">
        <f t="shared" si="7"/>
        <v>344</v>
      </c>
      <c r="T14" s="197">
        <f t="shared" si="7"/>
        <v>541</v>
      </c>
      <c r="U14" s="197">
        <f t="shared" si="7"/>
        <v>538</v>
      </c>
      <c r="V14" s="197">
        <f t="shared" si="7"/>
        <v>354</v>
      </c>
      <c r="W14" s="197">
        <f t="shared" si="7"/>
        <v>93</v>
      </c>
      <c r="X14" s="197">
        <f t="shared" si="7"/>
        <v>226</v>
      </c>
      <c r="Y14" s="197">
        <f t="shared" si="7"/>
        <v>19</v>
      </c>
      <c r="Z14" s="197">
        <f t="shared" si="7"/>
        <v>57</v>
      </c>
      <c r="AA14" s="197">
        <f t="shared" si="7"/>
        <v>50</v>
      </c>
      <c r="AB14" s="197">
        <f t="shared" si="7"/>
        <v>26</v>
      </c>
      <c r="AC14" s="197">
        <f t="shared" si="7"/>
        <v>0</v>
      </c>
      <c r="AD14" s="197">
        <f t="shared" si="7"/>
        <v>0</v>
      </c>
      <c r="AE14" s="197">
        <f t="shared" si="7"/>
        <v>0</v>
      </c>
      <c r="AF14" s="197">
        <f>SUBTOTAL(9,AF9:AF13)</f>
        <v>0</v>
      </c>
      <c r="AG14" s="197">
        <f t="shared" ref="AG14:AT14" si="8">SUBTOTAL(9,AG8:AG13)</f>
        <v>20</v>
      </c>
      <c r="AH14" s="197">
        <f t="shared" si="8"/>
        <v>42</v>
      </c>
      <c r="AI14" s="197">
        <f t="shared" si="8"/>
        <v>43</v>
      </c>
      <c r="AJ14" s="197">
        <f t="shared" si="8"/>
        <v>19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364</v>
      </c>
      <c r="AZ14" s="197">
        <f>SUBTOTAL(9,AZ8:AZ13)</f>
        <v>583</v>
      </c>
      <c r="BA14" s="197">
        <f>SUBTOTAL(9,BA8:BA13)</f>
        <v>581</v>
      </c>
      <c r="BB14" s="197">
        <f>SUBTOTAL(9,BB8:BB13)</f>
        <v>373</v>
      </c>
      <c r="BC14" s="197">
        <f>SUBTOTAL(9,BC8:BC13)</f>
        <v>227</v>
      </c>
      <c r="BD14" s="219">
        <f>IF(ISNUMBER(BA14/AZ14),BA14/AZ14," - ")</f>
        <v>0.99656946826758153</v>
      </c>
      <c r="BE14" s="220">
        <f>IF(ISNUMBER(BB14/BA14),BB14/BA14, " - ")</f>
        <v>0.64199655765920827</v>
      </c>
      <c r="BF14" s="220">
        <f>IF(ISNUMBER(BC14/BA14),BC14/BA14, " - ")</f>
        <v>0.39070567986230637</v>
      </c>
      <c r="BG14" s="221">
        <f>IF(ISNUMBER((AY14+AZ14)/BA14),(AY14+AZ14)/BA14," - ")</f>
        <v>1.6299483648881239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413</v>
      </c>
      <c r="J17" s="196">
        <v>842</v>
      </c>
      <c r="K17" s="196">
        <v>863</v>
      </c>
      <c r="L17" s="196">
        <v>400</v>
      </c>
      <c r="M17" s="196">
        <v>183</v>
      </c>
      <c r="N17" s="196">
        <v>506</v>
      </c>
      <c r="O17" s="194">
        <v>0</v>
      </c>
      <c r="P17" s="196">
        <v>24</v>
      </c>
      <c r="Q17" s="196">
        <v>22</v>
      </c>
      <c r="R17" s="196">
        <v>23</v>
      </c>
      <c r="S17" s="196">
        <v>477</v>
      </c>
      <c r="T17" s="196">
        <v>695</v>
      </c>
      <c r="U17" s="196">
        <v>726</v>
      </c>
      <c r="V17" s="196">
        <v>413</v>
      </c>
      <c r="W17" s="196">
        <v>68</v>
      </c>
      <c r="X17" s="202">
        <v>538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477</v>
      </c>
      <c r="AZ17" s="137">
        <f t="shared" si="10"/>
        <v>695</v>
      </c>
      <c r="BA17" s="137">
        <f t="shared" si="10"/>
        <v>726</v>
      </c>
      <c r="BB17" s="137">
        <f t="shared" si="10"/>
        <v>413</v>
      </c>
      <c r="BC17" s="135">
        <f>IF(ISNUMBER(W17),W17," - ")</f>
        <v>68</v>
      </c>
      <c r="BD17" s="136">
        <f t="shared" ref="BD17:BD22" si="12">IF(ISNUMBER(BA17/AZ17),BA17/AZ17," - ")</f>
        <v>1.0446043165467627</v>
      </c>
      <c r="BE17" s="137">
        <f t="shared" ref="BE17:BE22" si="13">IF(ISNUMBER(BB17/BA17),BB17/BA17, " - ")</f>
        <v>0.56887052341597799</v>
      </c>
      <c r="BF17" s="137">
        <f t="shared" ref="BF17:BF22" si="14">IF(ISNUMBER(BC17/BA17),BC17/BA17, " - ")</f>
        <v>9.366391184573003E-2</v>
      </c>
      <c r="BG17" s="209">
        <f t="shared" si="11"/>
        <v>1.6143250688705235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55</v>
      </c>
      <c r="K18" s="196">
        <v>53</v>
      </c>
      <c r="L18" s="196">
        <v>17</v>
      </c>
      <c r="M18" s="196">
        <v>12</v>
      </c>
      <c r="N18" s="196">
        <v>31</v>
      </c>
      <c r="O18" s="196">
        <v>0</v>
      </c>
      <c r="P18" s="196">
        <v>1</v>
      </c>
      <c r="Q18" s="196">
        <v>0</v>
      </c>
      <c r="R18" s="196">
        <v>1</v>
      </c>
      <c r="S18" s="196">
        <v>26</v>
      </c>
      <c r="T18" s="196">
        <v>41</v>
      </c>
      <c r="U18" s="196">
        <v>46</v>
      </c>
      <c r="V18" s="196">
        <v>14</v>
      </c>
      <c r="W18" s="196">
        <v>17</v>
      </c>
      <c r="X18" s="202">
        <v>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26</v>
      </c>
      <c r="AZ18" s="139">
        <f t="shared" si="15"/>
        <v>41</v>
      </c>
      <c r="BA18" s="139">
        <f t="shared" si="15"/>
        <v>46</v>
      </c>
      <c r="BB18" s="139">
        <f t="shared" si="15"/>
        <v>14</v>
      </c>
      <c r="BC18" s="135">
        <f>IF(ISNUMBER(W18),W18," - ")</f>
        <v>17</v>
      </c>
      <c r="BD18" s="136">
        <f>IF(ISNUMBER(BA18/AZ18),BA18/AZ18," - ")</f>
        <v>1.1219512195121952</v>
      </c>
      <c r="BE18" s="137">
        <f>IF(ISNUMBER(BB18/BA18),BB18/BA18, " - ")</f>
        <v>0.30434782608695654</v>
      </c>
      <c r="BF18" s="137">
        <f>IF(ISNUMBER(BC18/BA18),BC18/BA18, " - ")</f>
        <v>0.36956521739130432</v>
      </c>
      <c r="BG18" s="209">
        <f>IF(ISNUMBER((AY18+AZ18)/BA18),(AY18+AZ18)/BA18," - ")</f>
        <v>1.4565217391304348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427</v>
      </c>
      <c r="J23" s="197">
        <f t="shared" si="21"/>
        <v>897</v>
      </c>
      <c r="K23" s="197">
        <f t="shared" si="21"/>
        <v>916</v>
      </c>
      <c r="L23" s="197">
        <f t="shared" si="21"/>
        <v>417</v>
      </c>
      <c r="M23" s="197">
        <f t="shared" si="21"/>
        <v>195</v>
      </c>
      <c r="N23" s="197">
        <f t="shared" si="21"/>
        <v>537</v>
      </c>
      <c r="O23" s="197">
        <f t="shared" si="21"/>
        <v>0</v>
      </c>
      <c r="P23" s="197">
        <f t="shared" si="21"/>
        <v>25</v>
      </c>
      <c r="Q23" s="197">
        <f t="shared" si="21"/>
        <v>22</v>
      </c>
      <c r="R23" s="197">
        <f t="shared" si="21"/>
        <v>24</v>
      </c>
      <c r="S23" s="197">
        <f t="shared" si="21"/>
        <v>503</v>
      </c>
      <c r="T23" s="197">
        <f t="shared" si="21"/>
        <v>736</v>
      </c>
      <c r="U23" s="197">
        <f t="shared" si="21"/>
        <v>772</v>
      </c>
      <c r="V23" s="197">
        <f t="shared" si="21"/>
        <v>427</v>
      </c>
      <c r="W23" s="197">
        <f t="shared" si="21"/>
        <v>85</v>
      </c>
      <c r="X23" s="197">
        <f t="shared" si="21"/>
        <v>566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503</v>
      </c>
      <c r="AZ23" s="197">
        <f>SUBTOTAL(9,AZ15:AZ22)</f>
        <v>736</v>
      </c>
      <c r="BA23" s="197">
        <f>SUBTOTAL(9,BA15:BA22)</f>
        <v>772</v>
      </c>
      <c r="BB23" s="197">
        <f>SUBTOTAL(9,BB15:BB22)</f>
        <v>427</v>
      </c>
      <c r="BC23" s="197">
        <f>SUBTOTAL(9,BC15:BC22)</f>
        <v>85</v>
      </c>
      <c r="BD23" s="219">
        <f>IF(ISNUMBER(BA23/AZ23),BA23/AZ23," - ")</f>
        <v>1.048913043478261</v>
      </c>
      <c r="BE23" s="220">
        <f>IF(ISNUMBER(BB23/BA23),BB23/BA23, " - ")</f>
        <v>0.55310880829015541</v>
      </c>
      <c r="BF23" s="220">
        <f>IF(ISNUMBER(BC23/BA23),BC23/BA23, " - ")</f>
        <v>0.11010362694300518</v>
      </c>
      <c r="BG23" s="221">
        <f>IF(ISNUMBER((AY23+AZ23)/BA23),(AY23+AZ23)/BA23," - ")</f>
        <v>1.604922279792746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781</v>
      </c>
      <c r="J31" s="144">
        <f t="shared" si="36"/>
        <v>1513</v>
      </c>
      <c r="K31" s="144">
        <f t="shared" si="36"/>
        <v>1474</v>
      </c>
      <c r="L31" s="144">
        <f t="shared" si="36"/>
        <v>829</v>
      </c>
      <c r="M31" s="144">
        <f t="shared" si="36"/>
        <v>336</v>
      </c>
      <c r="N31" s="144">
        <f t="shared" si="36"/>
        <v>745</v>
      </c>
      <c r="O31" s="144">
        <f t="shared" si="36"/>
        <v>353</v>
      </c>
      <c r="P31" s="144">
        <f t="shared" si="36"/>
        <v>170</v>
      </c>
      <c r="Q31" s="144">
        <f t="shared" si="36"/>
        <v>253</v>
      </c>
      <c r="R31" s="144">
        <f t="shared" si="36"/>
        <v>769</v>
      </c>
      <c r="S31" s="144">
        <f t="shared" si="36"/>
        <v>847</v>
      </c>
      <c r="T31" s="144">
        <f t="shared" si="36"/>
        <v>1277</v>
      </c>
      <c r="U31" s="144">
        <f t="shared" si="36"/>
        <v>1310</v>
      </c>
      <c r="V31" s="144">
        <f t="shared" si="36"/>
        <v>781</v>
      </c>
      <c r="W31" s="144">
        <f t="shared" si="36"/>
        <v>178</v>
      </c>
      <c r="X31" s="144">
        <f t="shared" si="36"/>
        <v>792</v>
      </c>
      <c r="Y31" s="144">
        <f t="shared" si="36"/>
        <v>19</v>
      </c>
      <c r="Z31" s="144">
        <f t="shared" si="36"/>
        <v>57</v>
      </c>
      <c r="AA31" s="144">
        <f t="shared" si="36"/>
        <v>50</v>
      </c>
      <c r="AB31" s="144">
        <f t="shared" si="36"/>
        <v>26</v>
      </c>
      <c r="AC31" s="144">
        <f t="shared" si="36"/>
        <v>0</v>
      </c>
      <c r="AD31" s="144">
        <f t="shared" si="36"/>
        <v>0</v>
      </c>
      <c r="AE31" s="144">
        <f t="shared" si="36"/>
        <v>0</v>
      </c>
      <c r="AF31" s="144">
        <f t="shared" si="36"/>
        <v>0</v>
      </c>
      <c r="AG31" s="144">
        <f t="shared" si="36"/>
        <v>20</v>
      </c>
      <c r="AH31" s="144">
        <f t="shared" si="36"/>
        <v>42</v>
      </c>
      <c r="AI31" s="144">
        <f t="shared" si="36"/>
        <v>43</v>
      </c>
      <c r="AJ31" s="144">
        <f t="shared" si="36"/>
        <v>19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867</v>
      </c>
      <c r="AZ31" s="144">
        <f>SUBTOTAL(9,AZ9:AZ30)</f>
        <v>1319</v>
      </c>
      <c r="BA31" s="144">
        <f>SUBTOTAL(9,BA9:BA30)</f>
        <v>1353</v>
      </c>
      <c r="BB31" s="144">
        <f>SUBTOTAL(9,BB9:BB30)</f>
        <v>800</v>
      </c>
      <c r="BC31" s="145">
        <f>SUBTOTAL(9,BC9:BC30)</f>
        <v>312</v>
      </c>
      <c r="BD31" s="227">
        <f>IF(ISNUMBER(BA31/AZ31),BA31/AZ31," - ")</f>
        <v>1.0257771038665655</v>
      </c>
      <c r="BE31" s="224">
        <f>IF(ISNUMBER(BB31/BA31),BB31/BA31, " - ")</f>
        <v>0.59127864005912789</v>
      </c>
      <c r="BF31" s="224">
        <f>IF(ISNUMBER(BC31/BA31),BC31/BA31, " - ")</f>
        <v>0.23059866962305986</v>
      </c>
      <c r="BG31" s="145">
        <f>IF(ISNUMBER((AY31+AZ31)/BA31),(AY31+AZ31)/BA31," - ")</f>
        <v>1.6156688839615669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kGS4T0EMkAV3jkBER0UZuW8zeTEKB+ep0qDCdI2lioz4zbyzJJHz199d1Ms0aW1T94zlcsTx+Ye7jRKk7qcuQ==" saltValue="fPYv2i3Q7yTuduRhzQLo6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9kF3jAvWD1981UyhfzFVoeMrZ9WAxJYx5AVeoo/7ssoE+LRlfIOjQYHkWCN4SH7auMKDQHu/ncsAYSBCBIHBQ==" saltValue="FaLGP8foiLnGBowFiu6gL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SAN SEBASTIAN DE LA GOMERA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1</v>
      </c>
      <c r="AD10" s="549"/>
      <c r="AE10" s="563"/>
      <c r="AF10" s="551">
        <f>IF(ISNUMBER(Datos!L10),Datos!L10,"-")</f>
        <v>4</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1.1428571428571428</v>
      </c>
      <c r="BH10" s="764">
        <f>IF(ISNUMBER(((Datos!L10/Datos!K10)*11)/factor_trimestre),((Datos!L10/Datos!K10)*11)/factor_trimestre," - ")</f>
        <v>5.5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57</v>
      </c>
      <c r="O12" s="549"/>
      <c r="P12" s="549"/>
      <c r="Q12" s="547">
        <f>IF(ISNUMBER(Datos!P12),Datos!P12,0)</f>
        <v>145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230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v>
      </c>
      <c r="AI12" s="549" t="str">
        <f>IF(ISNUMBER(Datos!CD12),Datos!CD12,"-")</f>
        <v>-</v>
      </c>
      <c r="AJ12" s="549" t="str">
        <f>IF(ISNUMBER(Datos!EN12),Datos!EN12," - ")</f>
        <v xml:space="preserve"> - </v>
      </c>
      <c r="AK12" s="549"/>
      <c r="AL12" s="550"/>
      <c r="AM12" s="766">
        <f>IF(ISNUMBER(Datos!R12),Datos!R12," - ")</f>
        <v>743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139</v>
      </c>
      <c r="BD12" s="693">
        <f>IF(ISNUMBER(Datos!N12),Datos!N12," - ")</f>
        <v>207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0.90090090090090091</v>
      </c>
      <c r="BH12" s="764">
        <f>IF(ISNUMBER(((IF(J_V="SI",Datos!L12/Datos!K12,(Datos!L12+Datos!AB12)/(Datos!K12+Datos!AA12)))*11)/factor_trimestre),((IF(J_V="SI",Datos!L12/Datos!K12,(Datos!L12+Datos!AB12)/(Datos!K12+Datos!AA12)))*11)/factor_trimestre," - ")</f>
        <v>7.956666666666667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-0.10265700483091787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57</v>
      </c>
      <c r="O14" s="1199">
        <f t="shared" si="1"/>
        <v>0</v>
      </c>
      <c r="P14" s="1199">
        <f t="shared" si="1"/>
        <v>0</v>
      </c>
      <c r="Q14" s="1198">
        <f t="shared" si="1"/>
        <v>145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231</v>
      </c>
      <c r="AD14" s="1198">
        <f t="shared" si="2"/>
        <v>0</v>
      </c>
      <c r="AE14" s="1198">
        <f t="shared" si="2"/>
        <v>0</v>
      </c>
      <c r="AF14" s="1198">
        <f t="shared" si="2"/>
        <v>4</v>
      </c>
      <c r="AG14" s="1198">
        <f t="shared" si="2"/>
        <v>0</v>
      </c>
      <c r="AH14" s="1198">
        <f t="shared" si="2"/>
        <v>26</v>
      </c>
      <c r="AI14" s="1198">
        <f t="shared" si="2"/>
        <v>0</v>
      </c>
      <c r="AJ14" s="1198">
        <f t="shared" si="2"/>
        <v>0</v>
      </c>
      <c r="AK14" s="1198">
        <f t="shared" si="2"/>
        <v>0</v>
      </c>
      <c r="AL14" s="1198">
        <f t="shared" si="2"/>
        <v>0</v>
      </c>
      <c r="AM14" s="1198">
        <f t="shared" si="2"/>
        <v>745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141</v>
      </c>
      <c r="BD14" s="1198">
        <f t="shared" si="2"/>
        <v>208</v>
      </c>
      <c r="BE14" s="1198">
        <f t="shared" si="2"/>
        <v>0</v>
      </c>
      <c r="BF14" s="1198">
        <f t="shared" si="2"/>
        <v>0</v>
      </c>
      <c r="BG14" s="1198">
        <f>IF(ISNUMBER(Datos!K14/Datos!J14),Datos!K14/Datos!J14," - ")</f>
        <v>0.9058441558441559</v>
      </c>
      <c r="BH14" s="1202">
        <f>IF(ISNUMBER(((Datos!L14/Datos!K14)*11)/factor_trimestre),((Datos!L14/Datos!K14)*11)/factor_trimestre," - ")</f>
        <v>8.1218637992831546</v>
      </c>
      <c r="BI14" s="1198">
        <f>IF(ISNUMBER('Resol  Asuntos'!D14/NºAsuntos!G14),'Resol  Asuntos'!D14/NºAsuntos!G14," - ")</f>
        <v>0.23190789473684212</v>
      </c>
      <c r="BJ14" s="1198" t="str">
        <f>IF(ISNUMBER(Datos!CI14/Datos!CJ14),Datos!CI14/Datos!CJ14," - ")</f>
        <v xml:space="preserve"> - </v>
      </c>
      <c r="BK14" s="1198">
        <f>SUBTOTAL(9,BK8:BK13)</f>
        <v>0</v>
      </c>
      <c r="BL14" s="1198">
        <f>IF(ISNUMBER((I14-AB14+L14)/(F14)),(I14-AB14+L14)/(F14)," - ")</f>
        <v>-1.6</v>
      </c>
      <c r="BM14" s="1203">
        <f>SUBTOTAL(9,BM9:BM13)</f>
        <v>-0.4359903381642512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421</v>
      </c>
      <c r="G17" s="743">
        <f>IF(ISNUMBER(IF(D_I="SI",Datos!I17,Datos!I17+Datos!AC17)),IF(D_I="SI",Datos!I17,Datos!I17+Datos!AC17)," - ")</f>
        <v>413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863</v>
      </c>
      <c r="AC17" s="240">
        <f>IF(ISNUMBER(Datos!Q17),Datos!Q17," - ")</f>
        <v>22</v>
      </c>
      <c r="AD17" s="374"/>
      <c r="AE17" s="562"/>
      <c r="AF17" s="741">
        <f>IF(ISNUMBER(IF(D_I="SI",Datos!L17,Datos!L17+Datos!AF17)),IF(D_I="SI",Datos!L17,Datos!L17+Datos!AF17)," - ")</f>
        <v>400</v>
      </c>
      <c r="AG17" s="374"/>
      <c r="AH17" s="374"/>
      <c r="AI17" s="374"/>
      <c r="AJ17" s="549"/>
      <c r="AK17" s="374"/>
      <c r="AL17" s="545"/>
      <c r="AM17" s="375">
        <f>IF(ISNUMBER(Datos!R17),Datos!R17," - ")</f>
        <v>23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183</v>
      </c>
      <c r="BD17" s="243">
        <f>IF(ISNUMBER(Datos!N17),Datos!N17," - ")</f>
        <v>506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1.0249406175771971</v>
      </c>
      <c r="BH17" s="764">
        <f>IF(ISNUMBER(((IF(D_I="SI",Datos!L17/Datos!K17,(Datos!L17+Datos!AF17)/(Datos!K17+Datos!AE17)))*11)/factor_trimestre),((IF(D_I="SI",Datos!L17/Datos!K17,(Datos!L17+Datos!AF17)/(Datos!K17+Datos!AE17)))*11)/factor_trimestre," - ")</f>
        <v>5.0984936268829664</v>
      </c>
      <c r="BI17" s="266">
        <f>IF(ISNUMBER('Resol  Asuntos'!D17/NºAsuntos!G17),'Resol  Asuntos'!D17/NºAsuntos!G17," - ")</f>
        <v>0.21205098493626884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53</v>
      </c>
      <c r="AC18" s="547">
        <f>IF(ISNUMBER(Datos!Q18),Datos!Q18," - ")</f>
        <v>0</v>
      </c>
      <c r="AD18" s="549"/>
      <c r="AE18" s="562"/>
      <c r="AF18" s="551">
        <f>IF(ISNUMBER(Datos!L18),Datos!L18,"-")</f>
        <v>17</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31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0.96363636363636362</v>
      </c>
      <c r="BH18" s="764">
        <f>IF(ISNUMBER(((IF(D_I="SI",Datos!L18/Datos!K18,(Datos!L18+Datos!AF18)/(Datos!K18+Datos!AE18)))*11)/factor_trimestre),((IF(D_I="SI",Datos!L18/Datos!K18,(Datos!L18+Datos!AF18)/(Datos!K18+Datos!AE18)))*11)/factor_trimestre," - ")</f>
        <v>3.5283018867924527</v>
      </c>
      <c r="BI18" s="763">
        <f>IF(ISNUMBER('Resol  Asuntos'!D18/NºAsuntos!G18),'Resol  Asuntos'!D18/NºAsuntos!G18," - ")</f>
        <v>0.22641509433962265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421</v>
      </c>
      <c r="G23" s="1197">
        <f>SUBTOTAL(9,G16:G22)</f>
        <v>427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916</v>
      </c>
      <c r="AC23" s="1198">
        <f t="shared" si="5"/>
        <v>22</v>
      </c>
      <c r="AD23" s="1198">
        <f t="shared" si="5"/>
        <v>0</v>
      </c>
      <c r="AE23" s="1198">
        <f t="shared" si="5"/>
        <v>0</v>
      </c>
      <c r="AF23" s="1198">
        <f t="shared" si="5"/>
        <v>417</v>
      </c>
      <c r="AG23" s="1198">
        <f t="shared" si="5"/>
        <v>0</v>
      </c>
      <c r="AH23" s="1198">
        <f t="shared" si="5"/>
        <v>0</v>
      </c>
      <c r="AI23" s="1198">
        <f t="shared" si="5"/>
        <v>0</v>
      </c>
      <c r="AJ23" s="1198">
        <f t="shared" si="5"/>
        <v>0</v>
      </c>
      <c r="AK23" s="1198">
        <f t="shared" si="5"/>
        <v>0</v>
      </c>
      <c r="AL23" s="1198">
        <f t="shared" si="5"/>
        <v>0</v>
      </c>
      <c r="AM23" s="1198">
        <f t="shared" si="5"/>
        <v>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195</v>
      </c>
      <c r="BD23" s="1198">
        <f t="shared" si="5"/>
        <v>537</v>
      </c>
      <c r="BE23" s="1198">
        <f t="shared" si="5"/>
        <v>0</v>
      </c>
      <c r="BF23" s="1198">
        <f t="shared" si="5"/>
        <v>0</v>
      </c>
      <c r="BG23" s="1198">
        <f>IF(ISNUMBER(Datos!K23/Datos!J23),Datos!K23/Datos!J23," - ")</f>
        <v>1.0211817168338908</v>
      </c>
      <c r="BH23" s="1202">
        <f>IF(ISNUMBER(((Datos!L23/Datos!K23)*11)/factor_trimestre),((Datos!L23/Datos!K23)*11)/factor_trimestre," - ")</f>
        <v>5.0076419213973793</v>
      </c>
      <c r="BI23" s="1198">
        <f>SUBTOTAL(9,BI16:BI22)</f>
        <v>0.43846607927589148</v>
      </c>
      <c r="BJ23" s="1198">
        <f>SUBTOTAL(9,BJ16:BJ22)</f>
        <v>0</v>
      </c>
      <c r="BK23" s="1198">
        <f>SUBTOTAL(9,BK16:BK22)</f>
        <v>0</v>
      </c>
      <c r="BL23" s="1198">
        <f>IF(ISNUMBER((I23-AB23+L23)/(F23)),(I23-AB23+L23)/(F23)," - ")</f>
        <v>-2.1757719714964372</v>
      </c>
      <c r="BM23" s="1205">
        <f>IF(ISNUMBER((Datos!P23-Datos!Q23)/(Datos!R23-Datos!P23+Datos!Q23)),(Datos!P23-Datos!Q23)/(Datos!R23-Datos!P23+Datos!Q23)," - ")</f>
        <v>0.14285714285714285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426</v>
      </c>
      <c r="G31" s="1117">
        <f t="shared" si="18"/>
        <v>432</v>
      </c>
      <c r="H31" s="1119">
        <f t="shared" si="18"/>
        <v>0</v>
      </c>
      <c r="I31" s="1117">
        <f t="shared" si="18"/>
        <v>0</v>
      </c>
      <c r="J31" s="1119">
        <f t="shared" si="18"/>
        <v>0</v>
      </c>
      <c r="K31" s="1119">
        <f t="shared" si="18"/>
        <v>0</v>
      </c>
      <c r="L31" s="1180">
        <f t="shared" si="18"/>
        <v>0</v>
      </c>
      <c r="M31" s="1180">
        <f t="shared" si="18"/>
        <v>0</v>
      </c>
      <c r="N31" s="1180">
        <f t="shared" si="18"/>
        <v>57</v>
      </c>
      <c r="O31" s="1180">
        <f t="shared" si="18"/>
        <v>0</v>
      </c>
      <c r="P31" s="1180">
        <f t="shared" si="18"/>
        <v>0</v>
      </c>
      <c r="Q31" s="1119">
        <f t="shared" si="18"/>
        <v>170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924</v>
      </c>
      <c r="AC31" s="1118">
        <f t="shared" si="19"/>
        <v>253</v>
      </c>
      <c r="AD31" s="1118">
        <f t="shared" si="19"/>
        <v>0</v>
      </c>
      <c r="AE31" s="1118">
        <f t="shared" si="19"/>
        <v>0</v>
      </c>
      <c r="AF31" s="1125">
        <f t="shared" si="19"/>
        <v>421</v>
      </c>
      <c r="AG31" s="1125">
        <f t="shared" si="19"/>
        <v>0</v>
      </c>
      <c r="AH31" s="1125">
        <f t="shared" si="19"/>
        <v>26</v>
      </c>
      <c r="AI31" s="1125">
        <f t="shared" si="19"/>
        <v>0</v>
      </c>
      <c r="AJ31" s="1118">
        <f t="shared" si="19"/>
        <v>0</v>
      </c>
      <c r="AK31" s="1125">
        <f t="shared" si="19"/>
        <v>0</v>
      </c>
      <c r="AL31" s="1125">
        <f t="shared" si="19"/>
        <v>0</v>
      </c>
      <c r="AM31" s="1125">
        <f t="shared" si="19"/>
        <v>769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336</v>
      </c>
      <c r="BD31" s="1117">
        <f t="shared" si="19"/>
        <v>745</v>
      </c>
      <c r="BE31" s="1117">
        <f t="shared" si="19"/>
        <v>0</v>
      </c>
      <c r="BF31" s="1127">
        <f t="shared" si="19"/>
        <v>0</v>
      </c>
      <c r="BG31" s="1223">
        <f>IF(ISNUMBER(Datos!K31/Datos!J31),Datos!K31/Datos!J31," - ")</f>
        <v>0.97422339722405815</v>
      </c>
      <c r="BH31" s="1223">
        <f>IF(ISNUMBER(((Datos!L31/Datos!K31)*11)/factor_trimestre),((Datos!L31/Datos!K31)*11)/factor_trimestre," - ")</f>
        <v>6.1865671641791051</v>
      </c>
      <c r="BI31" s="1103">
        <f>IF(ISNUMBER(Datos!J31/Datos!I31),Datos!J31/Datos!I31," - ")</f>
        <v>1.9372599231754162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-2.1690140845070425</v>
      </c>
      <c r="BM31" s="1188">
        <f>IF(ISNUMBER((Datos!P31-Datos!Q31+R31)/(Datos!R31-Datos!P31+Datos!Q31-R31)),(Datos!P31-Datos!Q31+R31)/(Datos!R31-Datos!P31+Datos!Q31-R31)," - ")</f>
        <v>-9.7417840375586859E-2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123.42857142857143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216.12403845939951</v>
      </c>
      <c r="G33" s="674">
        <f>IF(ISNUMBER(STDEV(G8:G30)),STDEV(G8:G30),"-")</f>
        <v>202.69094466112452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427.95833130496868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88.168669524464789</v>
      </c>
      <c r="BD33" s="673"/>
      <c r="BE33" s="673">
        <f>IF(ISNUMBER(STDEV(BE8:BE30)),STDEV(BE8:BE30),"-")</f>
        <v>0</v>
      </c>
      <c r="BF33" s="678">
        <f>IF(ISNUMBER(STDEV(BF8:BF30)),STDEV(BF8:BF30),"-")</f>
        <v>0</v>
      </c>
      <c r="BG33" s="1052">
        <f>IF(ISNUMBER(STDEV(BG8:BG30)),STDEV(BG8:BG30),"-")</f>
        <v>9.0787526866159679E-2</v>
      </c>
      <c r="BH33" s="1058">
        <f>IF(ISNUMBER(STDEV(BH8:BH30)),STDEV(BH8:BH30),"-")</f>
        <v>1.8102151087345908</v>
      </c>
      <c r="BI33" s="273">
        <f>IF(ISNUMBER(STDEV(BI8:BI30)),STDEV(BI8:BI30),"-")</f>
        <v>0.10782953140617883</v>
      </c>
      <c r="BJ33" s="244" t="str">
        <f>IF(ISNUMBER(BL33/BM33),BL33/BM33," - ")</f>
        <v xml:space="preserve"> - </v>
      </c>
      <c r="BK33" s="709"/>
      <c r="BL33" s="681">
        <f>IF(ISNUMBER(STDEV(BL8:BL30)),STDEV(BL8:BL30),"-")</f>
        <v>0.40713226546227849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kNJmCTB21BJ2Dxjf1x6UmRZLLq1KIXRuBhkVWP6SOFJ9AtkVJatniFjIW2Xe8PuBDf2o3EjVbFLr8iyiX68+QQ==" saltValue="5HwyesfpfBCxhi8AhSDgI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SAN SEBASTIAN DE LA GOMERA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1</v>
      </c>
      <c r="AA10" s="551">
        <f>IF(ISNUMBER(Datos!L10),Datos!L10,"-")</f>
        <v>4</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230</v>
      </c>
      <c r="AA12" s="551" t="str">
        <f>IF(ISNUMBER(IF(J_V="SI",Datos!L12,Datos!L12+Datos!AB12)-IF(Monitorios="SI",Datos!CD12,0)),
                          IF(J_V="SI",Datos!L12,Datos!L12+Datos!AB12)-IF(Monitorios="SI",Datos!CD12,0),
                          " - ")</f>
        <v xml:space="preserve"> - </v>
      </c>
      <c r="AB12" s="549"/>
      <c r="AC12" s="549"/>
      <c r="AD12" s="563"/>
      <c r="AE12" s="563">
        <f>IF(ISNUMBER(Datos!R12),Datos!R12," - ")</f>
        <v>743</v>
      </c>
      <c r="AF12" s="693" t="str">
        <f>IF(ISNUMBER(Datos!BV12),Datos!BV12," - ")</f>
        <v xml:space="preserve"> - </v>
      </c>
      <c r="AG12" s="552" t="str">
        <f>IF(ISNUMBER(Datos!DV12),Datos!DV12," - ")</f>
        <v xml:space="preserve"> - </v>
      </c>
      <c r="AH12" s="553"/>
      <c r="AI12" s="554"/>
      <c r="AJ12" s="552">
        <f>IF(ISNUMBER(Datos!M12),Datos!M12," - ")</f>
        <v>139</v>
      </c>
      <c r="AK12" s="693">
        <f>IF(ISNUMBER(Datos!N12),Datos!N12," - ")</f>
        <v>207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7.956666666666667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-0.10265700483091787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145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231</v>
      </c>
      <c r="AA14" s="1199">
        <f t="shared" si="3"/>
        <v>4</v>
      </c>
      <c r="AB14" s="1199">
        <f t="shared" si="3"/>
        <v>0</v>
      </c>
      <c r="AC14" s="1199">
        <f t="shared" si="3"/>
        <v>0</v>
      </c>
      <c r="AD14" s="1199">
        <f t="shared" si="3"/>
        <v>0</v>
      </c>
      <c r="AE14" s="1199">
        <f t="shared" si="3"/>
        <v>745</v>
      </c>
      <c r="AF14" s="1211">
        <f t="shared" si="3"/>
        <v>0</v>
      </c>
      <c r="AG14" s="1211">
        <f t="shared" si="3"/>
        <v>0</v>
      </c>
      <c r="AH14" s="1211">
        <f t="shared" si="3"/>
        <v>0</v>
      </c>
      <c r="AI14" s="1211">
        <f t="shared" si="3"/>
        <v>0</v>
      </c>
      <c r="AJ14" s="1211">
        <f t="shared" si="3"/>
        <v>141</v>
      </c>
      <c r="AK14" s="1211">
        <f t="shared" si="3"/>
        <v>208</v>
      </c>
      <c r="AL14" s="1211">
        <f t="shared" si="3"/>
        <v>0</v>
      </c>
      <c r="AM14" s="1211">
        <f t="shared" si="3"/>
        <v>0</v>
      </c>
      <c r="AN14" s="1211">
        <f t="shared" si="3"/>
        <v>0</v>
      </c>
      <c r="AO14" s="1203">
        <f>IF(ISNUMBER(((NºAsuntos!I14/NºAsuntos!G14)*11)/factor_trimestre),((NºAsuntos!I14/NºAsuntos!G14)*11)/factor_trimestre," - ")</f>
        <v>7.9243421052631584</v>
      </c>
      <c r="AP14" s="1213" t="str">
        <f>IF(ISNUMBER(Datos!CI14/Datos!CJ14),Datos!CI14/Datos!CJ14," - ")</f>
        <v xml:space="preserve"> - </v>
      </c>
      <c r="AQ14" s="1236">
        <f t="shared" ref="AQ14:AV14" si="4">SUBTOTAL(9,AQ9:AQ13)</f>
        <v>0</v>
      </c>
      <c r="AR14" s="1236">
        <f t="shared" si="4"/>
        <v>-0.4359903381642512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421</v>
      </c>
      <c r="G17" s="552">
        <f>IF(ISNUMBER(IF(D_I="SI",Datos!I17,Datos!I17+Datos!AC17)),IF(D_I="SI",Datos!I17,Datos!I17+Datos!AC17)," - ")</f>
        <v>413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863</v>
      </c>
      <c r="Z17" s="805">
        <f>IF(ISNUMBER(Datos!Q17),Datos!Q17," - ")</f>
        <v>22</v>
      </c>
      <c r="AA17" s="551">
        <f>IF(ISNUMBER(IF(D_I="SI",Datos!L17,Datos!L17+Datos!AF17)),IF(D_I="SI",Datos!L17,Datos!L17+Datos!AF17)," - ")</f>
        <v>400</v>
      </c>
      <c r="AB17" s="549"/>
      <c r="AC17" s="549"/>
      <c r="AD17" s="563"/>
      <c r="AE17" s="563">
        <f>IF(ISNUMBER(Datos!R17),Datos!R17," - ")</f>
        <v>23</v>
      </c>
      <c r="AF17" s="693" t="str">
        <f>IF(ISNUMBER(Datos!BV17),Datos!BV17," - ")</f>
        <v xml:space="preserve"> - </v>
      </c>
      <c r="AG17" s="552"/>
      <c r="AH17" s="553"/>
      <c r="AI17" s="554"/>
      <c r="AJ17" s="552">
        <f>IF(ISNUMBER(Datos!M17),Datos!M17," - ")</f>
        <v>183</v>
      </c>
      <c r="AK17" s="693">
        <f>IF(ISNUMBER(Datos!N17),Datos!N17," - ")</f>
        <v>506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5.0984936268829664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53</v>
      </c>
      <c r="Z18" s="805">
        <f>IF(ISNUMBER(Datos!Q18),Datos!Q18," - ")</f>
        <v>0</v>
      </c>
      <c r="AA18" s="551">
        <f>IF(ISNUMBER(Datos!L18),Datos!L18,"-")</f>
        <v>17</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12</v>
      </c>
      <c r="AK18" s="693">
        <f>IF(ISNUMBER(Datos!N18),Datos!N18," - ")</f>
        <v>31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3.5283018867924527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421</v>
      </c>
      <c r="G23" s="1197">
        <f>SUBTOTAL(9,G16:G22)</f>
        <v>427</v>
      </c>
      <c r="H23" s="1240">
        <f>SUBTOTAL(9,H16:H22)</f>
        <v>0</v>
      </c>
      <c r="I23" s="1217">
        <f>SUBTOTAL(9,I16:I22)</f>
        <v>0</v>
      </c>
      <c r="J23" s="1164">
        <f>SUBTOTAL(9,J15:J22)</f>
        <v>0</v>
      </c>
      <c r="K23" s="1240">
        <f t="shared" ref="K23:S23" si="5">SUBTOTAL(9,K16:K22)</f>
        <v>0</v>
      </c>
      <c r="L23" s="1240">
        <f t="shared" si="5"/>
        <v>0</v>
      </c>
      <c r="M23" s="1240">
        <f t="shared" si="5"/>
        <v>0</v>
      </c>
      <c r="N23" s="1240">
        <f t="shared" si="5"/>
        <v>25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916</v>
      </c>
      <c r="Z23" s="1240">
        <f t="shared" si="6"/>
        <v>22</v>
      </c>
      <c r="AA23" s="1240">
        <f t="shared" si="6"/>
        <v>417</v>
      </c>
      <c r="AB23" s="1240">
        <f t="shared" si="6"/>
        <v>0</v>
      </c>
      <c r="AC23" s="1240">
        <f t="shared" si="6"/>
        <v>0</v>
      </c>
      <c r="AD23" s="1240">
        <f t="shared" si="6"/>
        <v>0</v>
      </c>
      <c r="AE23" s="1240">
        <f t="shared" si="6"/>
        <v>24</v>
      </c>
      <c r="AF23" s="1240">
        <f t="shared" si="6"/>
        <v>0</v>
      </c>
      <c r="AG23" s="1240">
        <f t="shared" si="6"/>
        <v>0</v>
      </c>
      <c r="AH23" s="1240">
        <f t="shared" si="6"/>
        <v>0</v>
      </c>
      <c r="AI23" s="1240">
        <f t="shared" si="6"/>
        <v>0</v>
      </c>
      <c r="AJ23" s="1240">
        <f t="shared" si="6"/>
        <v>195</v>
      </c>
      <c r="AK23" s="1240">
        <f t="shared" si="6"/>
        <v>537</v>
      </c>
      <c r="AL23" s="1240">
        <f t="shared" si="6"/>
        <v>0</v>
      </c>
      <c r="AM23" s="1240">
        <f t="shared" si="6"/>
        <v>0</v>
      </c>
      <c r="AN23" s="1240">
        <f t="shared" si="6"/>
        <v>0</v>
      </c>
      <c r="AO23" s="1242">
        <f>IF(ISNUMBER(((NºAsuntos!I23/NºAsuntos!G23)*11)/factor_trimestre),((NºAsuntos!I23/NºAsuntos!G23)*11)/factor_trimestre," - ")</f>
        <v>5.0076419213973793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426</v>
      </c>
      <c r="G31" s="1117">
        <f t="shared" si="12"/>
        <v>432</v>
      </c>
      <c r="H31" s="1118">
        <f t="shared" si="12"/>
        <v>0</v>
      </c>
      <c r="I31" s="1117">
        <f t="shared" si="12"/>
        <v>0</v>
      </c>
      <c r="J31" s="1119">
        <f t="shared" si="12"/>
        <v>0</v>
      </c>
      <c r="K31" s="1117">
        <f t="shared" si="12"/>
        <v>0</v>
      </c>
      <c r="L31" s="1120">
        <f t="shared" si="12"/>
        <v>0</v>
      </c>
      <c r="M31" s="1117">
        <f t="shared" si="12"/>
        <v>0</v>
      </c>
      <c r="N31" s="1118">
        <f t="shared" si="12"/>
        <v>170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924</v>
      </c>
      <c r="Z31" s="1124">
        <f t="shared" si="13"/>
        <v>253</v>
      </c>
      <c r="AA31" s="1125">
        <f t="shared" si="13"/>
        <v>421</v>
      </c>
      <c r="AB31" s="1125">
        <f t="shared" si="13"/>
        <v>0</v>
      </c>
      <c r="AC31" s="1125">
        <f t="shared" si="13"/>
        <v>0</v>
      </c>
      <c r="AD31" s="1126">
        <f t="shared" si="13"/>
        <v>0</v>
      </c>
      <c r="AE31" s="1126">
        <f t="shared" si="13"/>
        <v>769</v>
      </c>
      <c r="AF31" s="1127">
        <f t="shared" si="13"/>
        <v>0</v>
      </c>
      <c r="AG31" s="1128">
        <f t="shared" si="13"/>
        <v>0</v>
      </c>
      <c r="AH31" s="1129">
        <f t="shared" si="13"/>
        <v>0</v>
      </c>
      <c r="AI31" s="1127">
        <f t="shared" si="13"/>
        <v>0</v>
      </c>
      <c r="AJ31" s="1117">
        <f t="shared" si="13"/>
        <v>336</v>
      </c>
      <c r="AK31" s="1117">
        <f t="shared" si="13"/>
        <v>745</v>
      </c>
      <c r="AL31" s="1117">
        <f t="shared" si="13"/>
        <v>0</v>
      </c>
      <c r="AM31" s="1130">
        <f t="shared" si="13"/>
        <v>0</v>
      </c>
      <c r="AN31" s="1120">
        <f>IF(ISNUMBER(Datos!K31/Datos!J31),Datos!K31/Datos!J31," - ")</f>
        <v>0.97422339722405815</v>
      </c>
      <c r="AO31" s="1120">
        <f>IF(ISNUMBER(FIND("06",Criterios!A8,1)),(IF(ISNUMBER(((Datos!R31/Datos!Q31)*11)/factor_trimestre),((Datos!R31/Datos!Q31)*11)/factor_trimestre," - ")),(IF(ISNUMBER(((Datos!L31/Datos!K31)*11)/factor_trimestre),((Datos!L31/Datos!K31)*11)/factor_trimestre," - ")))</f>
        <v>6.1865671641791051</v>
      </c>
      <c r="AP31" s="1131" t="str">
        <f>IF(ISNUMBER(Datos!CI31/Datos!CJ31),Datos!CI31/Datos!CJ31," - ")</f>
        <v xml:space="preserve"> - </v>
      </c>
      <c r="AQ31" s="1131">
        <f>IF(OR(ISNUMBER(FIND("01",Criterios!A8,1)),ISNUMBER(FIND("02",Criterios!A8,1)),ISNUMBER(FIND("03",Criterios!A8,1)),ISNUMBER(FIND("04",Criterios!A8,1))),(J31-Y31+K31)/(F31-K31),(I31-Y31+K31)/(F31-K31))</f>
        <v>-2.1690140845070425</v>
      </c>
      <c r="AR31" s="1131">
        <f>IF(ISNUMBER((Datos!P31-Datos!Q31+O31)/(Datos!R31-Datos!P31+Datos!Q31-O31)),(Datos!P31-Datos!Q31+O31)/(Datos!R31-Datos!P31+Datos!Q31-O31)," - ")</f>
        <v>-9.7417840375586859E-2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123.42857142857143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216.12403845939951</v>
      </c>
      <c r="G33" s="674">
        <f>IF(ISNUMBER(STDEV(G8:G30)),STDEV(G8:G30),"-")</f>
        <v>202.69094466112452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88.168669524464789</v>
      </c>
      <c r="AK33" s="276"/>
      <c r="AL33" s="276">
        <f>IF(ISNUMBER(STDEV(AL8:AL30)),STDEV(AL8:AL30),"-")</f>
        <v>0</v>
      </c>
      <c r="AM33" s="278">
        <f>IF(ISNUMBER(STDEV(AM8:AM30)),STDEV(AM8:AM30),"-")</f>
        <v>0</v>
      </c>
      <c r="AN33" s="660">
        <f>IF(ISNUMBER(STDEV(AN8:AN30)),STDEV(AN8:AN30),"-")</f>
        <v>0</v>
      </c>
      <c r="AO33" s="661">
        <f>IF(ISNUMBER(STDEV(AO8:AO30)),STDEV(AO8:AO30),"-")</f>
        <v>1.7622065229187933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WXpqQhaFK2WQhB5AZ+fN3qf6XmwIzpwOXudrS2WqJizvWnj4o9pe/EnnAHWttIpfimCCwKFcn9khiAfbU18BOg==" saltValue="Y5ilTUxXX2PUeUqg9vsPa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Wikt+twWRAC9nP55+7E6QTejDilmKH/cIgAtobiFA3chqm98PXx24vsPXtsDMbDUIXbKxCjaTYmzAGjRkYwng==" saltValue="jFTTVtdxqOEYmoH1FL33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MZwaMTi3/RYQRbAAtAIUjR8yWBLtl0sWogRg5/rlgeUQFwdCWmSp8cHjNK0wvyqvsrg40O15Yq22sw2kQJI0Q==" saltValue="I2akGgV1Iexota3cuqjjH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SAN SEBASTIAN DE LA GOMERA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0.23190789473684212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0.16398364497911713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f4zjjKeknbI5GTzABgju404+hl/aZL7xdTWPy5zuv51btakwe3elugJ2653kI+TbTwreqksoAdtdBRrMgWYf5A==" saltValue="vV4HoOstTXFVnFy40qiA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tLk8M8cRF5lN+Ez4P2lFfjAYhffmFxkKJeq4u1Hzxgs+CjA1+eXpBuJl5Ph/vRb2gOL3i4UBzvpuHrBaAsZtaQ==" saltValue="nkm/PHulnEXfGqxiH4+j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SAN SEBASTIAN DE LA GOMERA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7</v>
      </c>
      <c r="F10" s="452">
        <f>IF(ISNUMBER(E10/B10),E10/B10," - ")</f>
        <v>7</v>
      </c>
      <c r="G10" s="451">
        <f>IF(ISNUMBER(Datos!K10),Datos!K10," - ")</f>
        <v>8</v>
      </c>
      <c r="H10" s="452">
        <f>IF(ISNUMBER(G10/B10),G10/B10," - ")</f>
        <v>8</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368</v>
      </c>
      <c r="D12" s="452">
        <f>IF(ISNUMBER(C12/Datos!BH12),C12/Datos!BH12," - ")</f>
        <v>368</v>
      </c>
      <c r="E12" s="451">
        <f>IF(ISNUMBER(IF(J_V="SI",Datos!J12,Datos!J12+Datos!Z12)),IF(J_V="SI",Datos!J12,Datos!J12+Datos!Z12)," - ")</f>
        <v>666</v>
      </c>
      <c r="F12" s="452">
        <f>IF(ISNUMBER(E12/B12),E12/B12," - ")</f>
        <v>666</v>
      </c>
      <c r="G12" s="451">
        <f>IF(ISNUMBER(IF(J_V="SI",Datos!K12,Datos!K12+Datos!AA12)),IF(J_V="SI",Datos!K12,Datos!K12+Datos!AA12)," - ")</f>
        <v>600</v>
      </c>
      <c r="H12" s="452">
        <f>IF(ISNUMBER(G12/B12),G12/B12," - ")</f>
        <v>600</v>
      </c>
      <c r="I12" s="451">
        <f>IF(ISNUMBER(IF(J_V="SI",Datos!L12,Datos!L12+Datos!AB12)),IF(J_V="SI",Datos!L12,Datos!L12+Datos!AB12)," - ")</f>
        <v>434</v>
      </c>
      <c r="J12" s="452">
        <f>IF(ISNUMBER(I12/B12),I12/B12," - ")</f>
        <v>434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373</v>
      </c>
      <c r="D14" s="1147" t="str">
        <f>IF(ISNUMBER(C14/Datos!BI14),C14/Datos!BI14," - ")</f>
        <v xml:space="preserve"> - </v>
      </c>
      <c r="E14" s="1146">
        <f>SUBTOTAL(9,E8:E13)</f>
        <v>673</v>
      </c>
      <c r="F14" s="1147">
        <f>IF(ISNUMBER(E14/B14),E14/B14," - ")</f>
        <v>673</v>
      </c>
      <c r="G14" s="1146">
        <f>SUBTOTAL(9,G8:G13)</f>
        <v>608</v>
      </c>
      <c r="H14" s="1147">
        <f>IF(ISNUMBER(G14/B14),G14/B14," - ")</f>
        <v>608</v>
      </c>
      <c r="I14" s="1146">
        <f>SUBTOTAL(9,I8:I13)</f>
        <v>438</v>
      </c>
      <c r="J14" s="1147">
        <f>IF(ISNUMBER(I14/B14),I14/B14," - ")</f>
        <v>438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413</v>
      </c>
      <c r="D17" s="452">
        <f>IF(ISNUMBER(C17/Datos!BH17),C17/Datos!BH17," - ")</f>
        <v>413</v>
      </c>
      <c r="E17" s="451">
        <f>IF(ISNUMBER(IF(D_I="SI",Datos!J17,Datos!J17+Datos!AD17)),IF(D_I="SI",Datos!J17,Datos!J17+Datos!AD17)," - ")</f>
        <v>842</v>
      </c>
      <c r="F17" s="452">
        <f>IF(ISNUMBER(E17/B17),E17/B17," - ")</f>
        <v>842</v>
      </c>
      <c r="G17" s="451">
        <f>IF(ISNUMBER(IF(D_I="SI",Datos!K17,Datos!K17+Datos!AE17)),IF(D_I="SI",Datos!K17,Datos!K17+Datos!AE17)," - ")</f>
        <v>863</v>
      </c>
      <c r="H17" s="452">
        <f>IF(ISNUMBER(G17/B17),G17/B17," - ")</f>
        <v>863</v>
      </c>
      <c r="I17" s="451">
        <f>IF(ISNUMBER(IF(D_I="SI",Datos!L17,Datos!L17+Datos!AF17)),IF(D_I="SI",Datos!L17,Datos!L17+Datos!AF17)," - ")</f>
        <v>400</v>
      </c>
      <c r="J17" s="452">
        <f>IF(ISNUMBER(I17/B17),I17/B17," - ")</f>
        <v>400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55</v>
      </c>
      <c r="F18" s="452">
        <f>IF(ISNUMBER(E18/B18),E18/B18," - ")</f>
        <v>55</v>
      </c>
      <c r="G18" s="451">
        <f>IF(ISNUMBER(IF(D_I="SI",Datos!K18,Datos!K18+Datos!AE18)),IF(D_I="SI",Datos!K18,Datos!K18+Datos!AE18)," - ")</f>
        <v>53</v>
      </c>
      <c r="H18" s="452">
        <f>IF(ISNUMBER(G18/B18),G18/B18," - ")</f>
        <v>53</v>
      </c>
      <c r="I18" s="451">
        <f>IF(ISNUMBER(IF(D_I="SI",Datos!L18,Datos!L18+Datos!AF18)),IF(D_I="SI",Datos!L18,Datos!L18+Datos!AF18)," - ")</f>
        <v>17</v>
      </c>
      <c r="J18" s="452">
        <f>IF(ISNUMBER(I18/B18),I18/B18," - ")</f>
        <v>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427</v>
      </c>
      <c r="D23" s="1147" t="str">
        <f>IF(ISNUMBER(C23/Datos!BI23),C23/Datos!BI23," - ")</f>
        <v xml:space="preserve"> - </v>
      </c>
      <c r="E23" s="1146">
        <f>SUBTOTAL(9,E15:E22)</f>
        <v>897</v>
      </c>
      <c r="F23" s="1147">
        <f>IF(ISNUMBER(E23/B23),E23/B23," - ")</f>
        <v>897</v>
      </c>
      <c r="G23" s="1146">
        <f>SUBTOTAL(9,G15:G22)</f>
        <v>916</v>
      </c>
      <c r="H23" s="1147">
        <f>IF(ISNUMBER(G23/B23),G23/B23," - ")</f>
        <v>916</v>
      </c>
      <c r="I23" s="1146">
        <f>SUBTOTAL(9,I15:I22)</f>
        <v>417</v>
      </c>
      <c r="J23" s="1147">
        <f>IF(ISNUMBER(I23/B23),I23/B23," - ")</f>
        <v>417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800</v>
      </c>
      <c r="D31" s="1085" t="str">
        <f>IF(ISNUMBER(C31/Datos!BI31),C31/Datos!BI31," - ")</f>
        <v xml:space="preserve"> - </v>
      </c>
      <c r="E31" s="1084">
        <f>SUBTOTAL(9,E9:E30)</f>
        <v>1570</v>
      </c>
      <c r="F31" s="1085">
        <f>IF(ISNUMBER(E31/B31),E31/B31," - ")</f>
        <v>1570</v>
      </c>
      <c r="G31" s="1084">
        <f>SUBTOTAL(9,G9:G30)</f>
        <v>1524</v>
      </c>
      <c r="H31" s="1085">
        <f>IF(ISNUMBER(G31/B31),G31/B31," - ")</f>
        <v>1524</v>
      </c>
      <c r="I31" s="1084">
        <f>SUBTOTAL(9,I9:I30)</f>
        <v>855</v>
      </c>
      <c r="J31" s="1085">
        <f>IF(ISNUMBER(I31/B31),I31/B31," - ")</f>
        <v>855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ZlYvTu5Nmfk/c/wVMAOpf/CuI/JJQaQUL5v+ref+AeG1IcYBN2s6kK0x1Hu6N6nZAVdfbit7qOH7YHIYDplDag==" saltValue="wi7AnFvvyA1UJ6Xad/r5g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SAN SEBASTIAN DE LA GOMERA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5.5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230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743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139</v>
      </c>
      <c r="AM12" s="914">
        <f>IF(ISNUMBER(Datos!N12+DatosP!N17),Datos!N12+DatosP!N17," - ")</f>
        <v>207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7.956666666666667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-0.10265700483091787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145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230</v>
      </c>
      <c r="AE14" s="1257">
        <f t="shared" si="1"/>
        <v>0</v>
      </c>
      <c r="AF14" s="1257">
        <f t="shared" si="1"/>
        <v>4</v>
      </c>
      <c r="AG14" s="1257">
        <f t="shared" si="1"/>
        <v>0</v>
      </c>
      <c r="AH14" s="1257">
        <f t="shared" si="1"/>
        <v>743</v>
      </c>
      <c r="AI14" s="1257">
        <f t="shared" si="1"/>
        <v>0</v>
      </c>
      <c r="AJ14" s="1257">
        <f t="shared" si="1"/>
        <v>0</v>
      </c>
      <c r="AK14" s="1257">
        <f t="shared" si="1"/>
        <v>0</v>
      </c>
      <c r="AL14" s="1257">
        <f t="shared" si="1"/>
        <v>141</v>
      </c>
      <c r="AM14" s="1257">
        <f t="shared" si="1"/>
        <v>208</v>
      </c>
      <c r="AN14" s="1257">
        <f t="shared" si="1"/>
        <v>0</v>
      </c>
      <c r="AO14" s="1257">
        <f t="shared" si="1"/>
        <v>0</v>
      </c>
      <c r="AP14" s="1262">
        <f>IF(ISNUMBER(((Datos!L14/Datos!K14)*11)/factor_trimestre),((Datos!L14/Datos!K14)*11)/factor_trimestre," - ")</f>
        <v>8.1218637992831546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-1.6</v>
      </c>
      <c r="AU14" s="1257" t="str">
        <f>IF(ISNUMBER((DatosP!#REF!-DatosP!#REF!+DatosP!#REF!)/(DatosP!#REF!+DatosP!#REF!-DatosP!#REF!-DatosP!#REF!)),(DatosP!#REF!-DatosP!#REF!+DatosP!#REF!)/(DatosP!#REF!+DatosP!#REF!-DatosP!#REF!-DatosP!#REF!)," - ")</f>
        <v xml:space="preserve"> - </v>
      </c>
      <c r="AV14" s="1263">
        <f>SUBTOTAL(9,AV9:AV13)</f>
        <v>-0.10265700483091787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5.0076419213973793</v>
      </c>
      <c r="AQ23" s="1262">
        <f>IF(ISNUMBER(((Datos!M23/Datos!L23)*11)/factor_trimestre),((Datos!M23/Datos!L23)*11)/factor_trimestre," - ")</f>
        <v>5.1438848920863309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0.14285714285714285</v>
      </c>
      <c r="AW23" s="1265">
        <f>IF(ISNUMBER((Datos!Q23-Datos!R23)/(Datos!S23-Datos!Q23+Datos!R23)),(Datos!Q23-Datos!R23)/(Datos!S23-Datos!Q23+Datos!R23)," - ")</f>
        <v>-3.9603960396039604E-3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145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230</v>
      </c>
      <c r="AE31" s="1284">
        <f t="shared" si="9"/>
        <v>0</v>
      </c>
      <c r="AF31" s="1285">
        <f t="shared" si="9"/>
        <v>4</v>
      </c>
      <c r="AG31" s="1285">
        <f t="shared" si="9"/>
        <v>0</v>
      </c>
      <c r="AH31" s="1285">
        <f t="shared" si="9"/>
        <v>743</v>
      </c>
      <c r="AI31" s="1285">
        <f t="shared" si="9"/>
        <v>0</v>
      </c>
      <c r="AJ31" s="1286">
        <f t="shared" si="9"/>
        <v>0</v>
      </c>
      <c r="AK31" s="1286">
        <f t="shared" si="9"/>
        <v>0</v>
      </c>
      <c r="AL31" s="1278">
        <f t="shared" si="9"/>
        <v>141</v>
      </c>
      <c r="AM31" s="1278">
        <f t="shared" si="9"/>
        <v>208</v>
      </c>
      <c r="AN31" s="1278">
        <f t="shared" si="9"/>
        <v>0</v>
      </c>
      <c r="AO31" s="1278">
        <f t="shared" si="9"/>
        <v>0</v>
      </c>
      <c r="AP31" s="1278">
        <f>IF(ISNUMBER(((Datos!L31/Datos!K31)*11)/factor_trimestre),((Datos!L31/Datos!K31)*11)/factor_trimestre," - ")</f>
        <v>6.1865671641791051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-9.7417840375586859E-2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72.044430735484326</v>
      </c>
      <c r="AM33" s="1006"/>
      <c r="AN33" s="1006">
        <f>IF(ISNUMBER(STDEV(AN8:AN30)),STDEV(AN8:AN30),"-")</f>
        <v>0</v>
      </c>
      <c r="AO33" s="1012">
        <f>IF(ISNUMBER(STDEV(AO8:AO30)),STDEV(AO8:AO30),"-")</f>
        <v>0</v>
      </c>
      <c r="AP33" s="1065">
        <f>IF(ISNUMBER(STDEV(AP8:AP30)),STDEV(AP8:AP30),"-")</f>
        <v>1.6220925866558296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7OrrOSYVP0DxdJ+TiEMJWDBNHDSvpvrkNZYu4oDXUgHbD1ca8GIAxNrKhFsdfdlihwmgchy0+CYzqJSMElMf2w==" saltValue="9hkPYsOCECbZ2P4ceQSAF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SAN SEBASTIAN DE LA GOMERA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z9mif1x5QhTRuWB+s832oF97hEM8ymIBC3/v+8k9q1J6FqfMEt/S+fWw2j766y9Kufrvl3zQELQ5gt4eaHmDrg==" saltValue="lo/eKE0wIDpOP+4/xtZsq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SAN SEBASTIAN DE LA GOMERA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139</v>
      </c>
      <c r="E12" s="452">
        <f t="shared" si="0"/>
        <v>139</v>
      </c>
      <c r="F12" s="451">
        <f>IF(ISNUMBER(Datos!N12),Datos!N12," - ")</f>
        <v>207</v>
      </c>
      <c r="G12" s="452">
        <f t="shared" si="1"/>
        <v>207</v>
      </c>
      <c r="H12" s="451">
        <f>IF(ISNUMBER(Datos!O12),Datos!O12," - ")</f>
        <v>348</v>
      </c>
      <c r="I12" s="452">
        <f t="shared" si="2"/>
        <v>348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141</v>
      </c>
      <c r="E14" s="1147">
        <f t="shared" si="0"/>
        <v>70.5</v>
      </c>
      <c r="F14" s="1146">
        <f>SUBTOTAL(9,F9:F13)</f>
        <v>208</v>
      </c>
      <c r="G14" s="1147">
        <f t="shared" si="1"/>
        <v>104</v>
      </c>
      <c r="H14" s="1146">
        <f>SUBTOTAL(9,H9:H13)</f>
        <v>353</v>
      </c>
      <c r="I14" s="1147">
        <f>IF(ISNUMBER(H14/B14),H14/B14," - ")</f>
        <v>176.5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183</v>
      </c>
      <c r="E17" s="452">
        <f t="shared" si="3"/>
        <v>183</v>
      </c>
      <c r="F17" s="451">
        <f>IF(ISNUMBER(Datos!N17),Datos!N17," - ")</f>
        <v>506</v>
      </c>
      <c r="G17" s="452">
        <f t="shared" si="4"/>
        <v>506</v>
      </c>
      <c r="H17" s="451">
        <f>IF(ISNUMBER(Datos!O17),Datos!O17," - ")</f>
        <v>0</v>
      </c>
      <c r="I17" s="452">
        <f t="shared" si="5"/>
        <v>0</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31</v>
      </c>
      <c r="G18" s="452">
        <f>IF(ISNUMBER(F18/B18),F18/B18," - ")</f>
        <v>31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195</v>
      </c>
      <c r="E23" s="1147">
        <f t="shared" si="3"/>
        <v>97.5</v>
      </c>
      <c r="F23" s="1146">
        <f>SUBTOTAL(9,F16:F22)</f>
        <v>537</v>
      </c>
      <c r="G23" s="1147">
        <f t="shared" si="4"/>
        <v>268.5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336</v>
      </c>
      <c r="E31" s="1085">
        <f>IF(ISNUMBER(D31/B31),D31/B31," - ")</f>
        <v>336</v>
      </c>
      <c r="F31" s="1084">
        <f>SUBTOTAL(9,F8:F30)</f>
        <v>745</v>
      </c>
      <c r="G31" s="1085">
        <f>IF(ISNUMBER(F31/B31),F31/B31," - ")</f>
        <v>745</v>
      </c>
      <c r="H31" s="1084">
        <f>SUBTOTAL(9,H8:H30)</f>
        <v>353</v>
      </c>
      <c r="I31" s="1085">
        <f>IF(ISNUMBER(H31/B31),H31/B31," - ")</f>
        <v>353</v>
      </c>
    </row>
    <row r="34" spans="1:1">
      <c r="A34" s="439" t="str">
        <f>Criterios!A4</f>
        <v>Fecha Informe: 14 abr. 2023</v>
      </c>
    </row>
    <row r="39" spans="1:1">
      <c r="A39" s="462"/>
    </row>
  </sheetData>
  <sheetProtection algorithmName="SHA-512" hashValue="3iAStLh3RAXQTerr4kR3iIJWm6TtIkWMfhOM+ZruAluRGCk2QLZHMDKA9TgtHM0LibooNr91bgvW5afTg5ueYg==" saltValue="IJQwZUu4H3ZTCgxi9Yal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SAN SEBASTIAN DE LA GOMERA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145</v>
      </c>
      <c r="C12" s="489">
        <f>IF(ISNUMBER(Datos!Q12),Datos!Q12," - ")</f>
        <v>230</v>
      </c>
      <c r="D12" s="456">
        <f>IF(ISNUMBER(Datos!R12),Datos!R12," - ")</f>
        <v>743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145</v>
      </c>
      <c r="C14" s="1150">
        <f>SUBTOTAL(9,C9:C13)</f>
        <v>231</v>
      </c>
      <c r="D14" s="1148">
        <f>SUBTOTAL(9,D9:D13)</f>
        <v>745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22</v>
      </c>
      <c r="D17" s="456">
        <f>IF(ISNUMBER(Datos!R17),Datos!R17," - ")</f>
        <v>23</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v>
      </c>
      <c r="C23" s="1150">
        <f>SUBTOTAL(9,C16:C22)</f>
        <v>22</v>
      </c>
      <c r="D23" s="1148">
        <f>SUBTOTAL(9,D16:D22)</f>
        <v>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170</v>
      </c>
      <c r="C31" s="1089">
        <f>SUBTOTAL(9,C8:C30)</f>
        <v>253</v>
      </c>
      <c r="D31" s="1090">
        <f>SUBTOTAL(9,D8:D30)</f>
        <v>769</v>
      </c>
    </row>
    <row r="32" spans="1:4" ht="7.5" customHeight="1"/>
    <row r="33" spans="1:1" ht="6" customHeight="1"/>
    <row r="34" spans="1:1">
      <c r="A34" s="439" t="str">
        <f>Criterios!A4</f>
        <v>Fecha Informe: 14 abr. 2023</v>
      </c>
    </row>
    <row r="39" spans="1:1">
      <c r="A39" s="462"/>
    </row>
  </sheetData>
  <sheetProtection algorithmName="SHA-512" hashValue="xJP2g36ssqQPGB8mVzoD2wU9jX5fV0uLUnd3tjikaB7xg7D95Z2JDrrxa0+YRKua8dj31mXyvdVPr9oUQtoVZg==" saltValue="L2+NaeKa0J3YEYeI6wa/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SAN SEBASTIAN DE LA GOMERA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0</v>
      </c>
      <c r="D10" s="515">
        <f>IF(ISNUMBER((Datos!K10-Datos!U10)/Datos!U10),(Datos!K10-Datos!U10)/Datos!U10," - ")</f>
        <v>0.33333333333333331</v>
      </c>
      <c r="E10" s="515">
        <f>IF(ISNUMBER((Datos!L10-Datos!V10)/Datos!V10),(Datos!L10-Datos!V10)/Datos!V10," - ")</f>
        <v>-0.2</v>
      </c>
      <c r="F10" s="515">
        <f>IF(ISNUMBER((Datos!M10-Datos!W10)/Datos!W10),(Datos!M10-Datos!W10)/Datos!W10," - ")</f>
        <v>0</v>
      </c>
      <c r="G10" s="516">
        <f>IF(ISNUMBER((Datos!N10-Datos!X10)/Datos!X10),(Datos!N10-Datos!X10)/Datos!X10," - ")</f>
        <v>0</v>
      </c>
      <c r="H10" s="514">
        <f>IF(ISNUMBER(((NºAsuntos!G10/NºAsuntos!E10)-Datos!BD10)/Datos!BD10),((NºAsuntos!G10/NºAsuntos!E10)-Datos!BD10)/Datos!BD10," - ")</f>
        <v>0.33333333333333331</v>
      </c>
      <c r="I10" s="515">
        <f>IF(ISNUMBER(((NºAsuntos!I10/NºAsuntos!G10)-Datos!BE10)/Datos!BE10),((NºAsuntos!I10/NºAsuntos!G10)-Datos!BE10)/Datos!BE10," - ")</f>
        <v>-0.4</v>
      </c>
      <c r="J10" s="521">
        <f>IF(ISNUMBER((('Resol  Asuntos'!D10/NºAsuntos!G10)-Datos!BF10)/Datos!BF10),(('Resol  Asuntos'!D10/NºAsuntos!G10)-Datos!BF10)/Datos!BF10," - ")</f>
        <v>-0.24999999999999994</v>
      </c>
      <c r="K10" s="522">
        <f>IF(ISNUMBER((((NºAsuntos!C10+NºAsuntos!E10)/NºAsuntos!G10)-Datos!BG10)/Datos!BG10),(((NºAsuntos!C10+NºAsuntos!E10)/NºAsuntos!G10)-Datos!BG10)/Datos!BG10," - ")</f>
        <v>-0.1818181818181818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2.2222222222222223E-2</v>
      </c>
      <c r="C12" s="515">
        <f>IF(ISNUMBER(
   IF(J_V="SI",(Datos!J12-Datos!T12)/Datos!T12,(Datos!J12+Datos!Z12-(Datos!T12+Datos!AH12))/(Datos!T12+Datos!AH12))
     ),IF(J_V="SI",(Datos!J12-Datos!T12)/Datos!T12,(Datos!J12+Datos!Z12-(Datos!T12+Datos!AH12))/(Datos!T12+Datos!AH12))," - ")</f>
        <v>0.15625</v>
      </c>
      <c r="D12" s="515">
        <f>IF(ISNUMBER(
   IF(J_V="SI",(Datos!K12-Datos!U12)/Datos!U12,(Datos!K12+Datos!AA12-(Datos!U12+Datos!AI12))/(Datos!U12+Datos!AI12))
     ),IF(J_V="SI",(Datos!K12-Datos!U12)/Datos!U12,(Datos!K12+Datos!AA12-(Datos!U12+Datos!AI12))/(Datos!U12+Datos!AI12))," - ")</f>
        <v>4.3478260869565216E-2</v>
      </c>
      <c r="E12" s="515">
        <f>IF(ISNUMBER(
   IF(J_V="SI",(Datos!L12-Datos!V12)/Datos!V12,(Datos!L12+Datos!AB12-(Datos!V12+Datos!AJ12))/(Datos!V12+Datos!AJ12))
     ),IF(J_V="SI",(Datos!L12-Datos!V12)/Datos!V12,(Datos!L12+Datos!AB12-(Datos!V12+Datos!AJ12))/(Datos!V12+Datos!AJ12))," - ")</f>
        <v>0.17934782608695651</v>
      </c>
      <c r="F12" s="515">
        <f>IF(ISNUMBER((Datos!M12-Datos!W12)/Datos!W12),(Datos!M12-Datos!W12)/Datos!W12," - ")</f>
        <v>0.52747252747252749</v>
      </c>
      <c r="G12" s="516">
        <f>IF(ISNUMBER((Datos!N12-Datos!X12)/Datos!X12),(Datos!N12-Datos!X12)/Datos!X12," - ")</f>
        <v>-0.08</v>
      </c>
      <c r="H12" s="514">
        <f>IF(ISNUMBER(((NºAsuntos!G12/NºAsuntos!E12)-Datos!BD12)/Datos!BD12),((NºAsuntos!G12/NºAsuntos!E12)-Datos!BD12)/Datos!BD12," - ")</f>
        <v>-9.7532314923619218E-2</v>
      </c>
      <c r="I12" s="515">
        <f>IF(ISNUMBER(((NºAsuntos!I12/NºAsuntos!G12)-Datos!BE12)/Datos!BE12),((NºAsuntos!I12/NºAsuntos!G12)-Datos!BE12)/Datos!BE12," - ")</f>
        <v>0.1302083333333334</v>
      </c>
      <c r="J12" s="521">
        <f>IF(ISNUMBER((('Resol  Asuntos'!D12/NºAsuntos!G12)-Datos!BF12)/Datos!BF12),(('Resol  Asuntos'!D12/NºAsuntos!G12)-Datos!BF12)/Datos!BF12," - ")</f>
        <v>-0.40796296296296303</v>
      </c>
      <c r="K12" s="522">
        <f>IF(ISNUMBER((((NºAsuntos!C12+NºAsuntos!E12)/NºAsuntos!G12)-Datos!BG12)/Datos!BG12),(((NºAsuntos!C12+NºAsuntos!E12)/NºAsuntos!G12)-Datos!BG12)/Datos!BG12," - ")</f>
        <v>5.867165242165244E-2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2.4725274725274724E-2</v>
      </c>
      <c r="C14" s="1152">
        <f>IF(ISNUMBER(
   IF(J_V="SI",(Datos!J14-Datos!T14)/Datos!T14,(Datos!J14+Datos!Z14-(Datos!T14+Datos!AH14))/(Datos!T14+Datos!AH14))
     ),IF(J_V="SI",(Datos!J14-Datos!T14)/Datos!T14,(Datos!J14+Datos!Z14-(Datos!T14+Datos!AH14))/(Datos!T14+Datos!AH14))," - ")</f>
        <v>0.15437392795883362</v>
      </c>
      <c r="D14" s="1152">
        <f>IF(ISNUMBER(
   IF(J_V="SI",(Datos!K14-Datos!U14)/Datos!U14,(Datos!K14+Datos!AA14-(Datos!U14+Datos!AI14))/(Datos!U14+Datos!AI14))
     ),IF(J_V="SI",(Datos!K14-Datos!U14)/Datos!U14,(Datos!K14+Datos!AA14-(Datos!U14+Datos!AI14))/(Datos!U14+Datos!AI14))," - ")</f>
        <v>4.6471600688468159E-2</v>
      </c>
      <c r="E14" s="1152">
        <f>IF(ISNUMBER(
   IF(J_V="SI",(Datos!L14-Datos!V14)/Datos!V14,(Datos!L14+Datos!AB14-(Datos!V14+Datos!AJ14))/(Datos!V14+Datos!AJ14))
     ),IF(J_V="SI",(Datos!L14-Datos!V14)/Datos!V14,(Datos!L14+Datos!AB14-(Datos!V14+Datos!AJ14))/(Datos!V14+Datos!AJ14))," - ")</f>
        <v>0.17426273458445041</v>
      </c>
      <c r="F14" s="1153">
        <f>IF(ISNUMBER((Datos!M14-Datos!W14)/Datos!W14),(Datos!M14-Datos!W14)/Datos!W14," - ")</f>
        <v>0.5161290322580645</v>
      </c>
      <c r="G14" s="1154">
        <f>IF(ISNUMBER((Datos!N14-Datos!X14)/Datos!X14),(Datos!N14-Datos!X14)/Datos!X14," - ")</f>
        <v>-7.9646017699115043E-2</v>
      </c>
      <c r="H14" s="1154">
        <f>IF(ISNUMBER(((NºAsuntos!G14/NºAsuntos!E14)-Datos!BD14)/Datos!BD14),((NºAsuntos!G14/NºAsuntos!E14)-Datos!BD14)/Datos!BD14," - ")</f>
        <v>-9.3472595540301767E-2</v>
      </c>
      <c r="I14" s="1154">
        <f>IF(ISNUMBER(((NºAsuntos!I14/NºAsuntos!G14)-Datos!BE14)/Datos!BE14),((NºAsuntos!I14/NºAsuntos!G14)-Datos!BE14)/Datos!BE14," - ")</f>
        <v>0.12211619867362783</v>
      </c>
      <c r="J14" s="1154">
        <f>IF(ISNUMBER((('Resol  Asuntos'!D14/NºAsuntos!G14)-Datos!BF14)/Datos!BF14),(('Resol  Asuntos'!D14/NºAsuntos!G14)-Datos!BF14)/Datos!BF14," - ")</f>
        <v>-0.40643838395548337</v>
      </c>
      <c r="K14" s="1154">
        <f>IF(ISNUMBER((((NºAsuntos!C14+NºAsuntos!E14)/NºAsuntos!G14)-Datos!BG14)/Datos!BG14),(((NºAsuntos!C14+NºAsuntos!E14)/NºAsuntos!G14)-Datos!BG14)/Datos!BG14," - ")</f>
        <v>5.5490329572611623E-2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-0.13417190775681342</v>
      </c>
      <c r="C17" s="515">
        <f>IF(ISNUMBER(
   IF(D_I="SI",(Datos!J17-Datos!T17)/Datos!T17,(Datos!J17+Datos!AD17-(Datos!T17+Datos!AL17))/(Datos!T17+Datos!AL17))
     ),IF(D_I="SI",(Datos!J17-Datos!T17)/Datos!T17,(Datos!J17+Datos!AD17-(Datos!T17+Datos!AL17))/(Datos!T17+Datos!AL17))," - ")</f>
        <v>0.21151079136690648</v>
      </c>
      <c r="D17" s="515">
        <f>IF(ISNUMBER(
   IF(D_I="SI",(Datos!K17-Datos!U17)/Datos!U17,(Datos!K17+Datos!AE17-(Datos!U17+Datos!AM17))/(Datos!U17+Datos!AM17))
     ),IF(D_I="SI",(Datos!K17-Datos!U17)/Datos!U17,(Datos!K17+Datos!AE17-(Datos!U17+Datos!AM17))/(Datos!U17+Datos!AM17))," - ")</f>
        <v>0.18870523415977961</v>
      </c>
      <c r="E17" s="515">
        <f>IF(ISNUMBER(
   IF(D_I="SI",(Datos!L17-Datos!V17)/Datos!V17,(Datos!L17+Datos!AF17-(Datos!V17+Datos!AN17))/(Datos!V17+Datos!AN17))
     ),IF(D_I="SI",(Datos!L17-Datos!V17)/Datos!V17,(Datos!L17+Datos!AF17-(Datos!V17+Datos!AN17))/(Datos!V17+Datos!AN17))," - ")</f>
        <v>-3.1476997578692496E-2</v>
      </c>
      <c r="F17" s="515">
        <f>IF(ISNUMBER((Datos!M17-Datos!W17)/Datos!W17),(Datos!M17-Datos!W17)/Datos!W17," - ")</f>
        <v>1.6911764705882353</v>
      </c>
      <c r="G17" s="516">
        <f>IF(ISNUMBER((Datos!N17-Datos!X17)/Datos!X17),(Datos!N17-Datos!X17)/Datos!X17," - ")</f>
        <v>-5.9479553903345722E-2</v>
      </c>
      <c r="H17" s="514">
        <f>IF(ISNUMBER(((NºAsuntos!G17/NºAsuntos!E17)-Datos!BD17)/Datos!BD17),((NºAsuntos!G17/NºAsuntos!E17)-Datos!BD17)/Datos!BD17," - ")</f>
        <v>-1.8824064440562057E-2</v>
      </c>
      <c r="I17" s="515">
        <f>IF(ISNUMBER(((NºAsuntos!I17/NºAsuntos!G17)-Datos!BE17)/Datos!BE17),((NºAsuntos!I17/NºAsuntos!G17)-Datos!BE17)/Datos!BE17," - ")</f>
        <v>-0.18522862136979229</v>
      </c>
      <c r="J17" s="521">
        <f>IF(ISNUMBER((('Resol  Asuntos'!D17/NºAsuntos!G17)-Datos!BF17)/Datos!BF17),(('Resol  Asuntos'!D17/NºAsuntos!G17)-Datos!BF17)/Datos!BF17," - ")</f>
        <v>1.2639561038783995</v>
      </c>
      <c r="K17" s="522">
        <f>IF(ISNUMBER((((NºAsuntos!C17+NºAsuntos!E17)/NºAsuntos!G17)-Datos!BG17)/Datos!BG17),(((NºAsuntos!C17+NºAsuntos!E17)/NºAsuntos!G17)-Datos!BG17)/Datos!BG17," - ")</f>
        <v>-9.9171870489086905E-2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-0.46153846153846156</v>
      </c>
      <c r="C18" s="515">
        <f>IF(ISNUMBER(
   IF(D_I="SI",(Datos!J18-Datos!T18)/Datos!T18,(Datos!J18+Datos!AD18-(Datos!T18+Datos!AL18))/(Datos!T18+Datos!AL18))
     ),IF(D_I="SI",(Datos!J18-Datos!T18)/Datos!T18,(Datos!J18+Datos!AD18-(Datos!T18+Datos!AL18))/(Datos!T18+Datos!AL18))," - ")</f>
        <v>0.34146341463414637</v>
      </c>
      <c r="D18" s="515">
        <f>IF(ISNUMBER(
   IF(D_I="SI",(Datos!K18-Datos!U18)/Datos!U18,(Datos!K18+Datos!AE18-(Datos!U18+Datos!AM18))/(Datos!U18+Datos!AM18))
     ),IF(D_I="SI",(Datos!K18-Datos!U18)/Datos!U18,(Datos!K18+Datos!AE18-(Datos!U18+Datos!AM18))/(Datos!U18+Datos!AM18))," - ")</f>
        <v>0.15217391304347827</v>
      </c>
      <c r="E18" s="515">
        <f>IF(ISNUMBER(
   IF(D_I="SI",(Datos!L18-Datos!V18)/Datos!V18,(Datos!L18+Datos!AF18-(Datos!V18+Datos!AN18))/(Datos!V18+Datos!AN18))
     ),IF(D_I="SI",(Datos!L18-Datos!V18)/Datos!V18,(Datos!L18+Datos!AF18-(Datos!V18+Datos!AN18))/(Datos!V18+Datos!AN18))," - ")</f>
        <v>0.21428571428571427</v>
      </c>
      <c r="F18" s="515">
        <f>IF(ISNUMBER((Datos!M18-Datos!W18)/Datos!W18),(Datos!M18-Datos!W18)/Datos!W18," - ")</f>
        <v>-0.29411764705882354</v>
      </c>
      <c r="G18" s="516">
        <f>IF(ISNUMBER((Datos!N18-Datos!X18)/Datos!X18),(Datos!N18-Datos!X18)/Datos!X18," - ")</f>
        <v>0.10714285714285714</v>
      </c>
      <c r="H18" s="514">
        <f>IF(ISNUMBER(((NºAsuntos!G18/NºAsuntos!E18)-Datos!BD18)/Datos!BD18),((NºAsuntos!G18/NºAsuntos!E18)-Datos!BD18)/Datos!BD18," - ")</f>
        <v>-0.14110671936758903</v>
      </c>
      <c r="I18" s="515">
        <f>IF(ISNUMBER(((NºAsuntos!I18/NºAsuntos!G18)-Datos!BE18)/Datos!BE18),((NºAsuntos!I18/NºAsuntos!G18)-Datos!BE18)/Datos!BE18," - ")</f>
        <v>5.3908355795148133E-2</v>
      </c>
      <c r="J18" s="521">
        <f>IF(ISNUMBER((('Resol  Asuntos'!D18/NºAsuntos!G18)-Datos!BF18)/Datos!BF18),(('Resol  Asuntos'!D18/NºAsuntos!G18)-Datos!BF18)/Datos!BF18," - ")</f>
        <v>-0.38734739178690336</v>
      </c>
      <c r="K18" s="522">
        <f>IF(ISNUMBER((((NºAsuntos!C18+NºAsuntos!E18)/NºAsuntos!G18)-Datos!BG18)/Datos!BG18),(((NºAsuntos!C18+NºAsuntos!E18)/NºAsuntos!G18)-Datos!BG18)/Datos!BG18," - ")</f>
        <v>-0.10616727682343008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-0.15109343936381708</v>
      </c>
      <c r="C23" s="1152">
        <f>IF(ISNUMBER(
   IF(Criterios!B14="SI",(Datos!J23-Datos!T23)/Datos!T23,(Datos!J23+Datos!AD23-(Datos!T23+Datos!AL23))/(Datos!T23+Datos!AL23))
     ),IF(Criterios!B14="SI",(Datos!J23-Datos!T23)/Datos!T23,(Datos!J23+Datos!AD23-(Datos!T23+Datos!AL23))/(Datos!T23+Datos!AL23))," - ")</f>
        <v>0.21875</v>
      </c>
      <c r="D23" s="1152">
        <f>IF(ISNUMBER(
   IF(Criterios!B14="SI",(Datos!K23-Datos!U23)/Datos!U23,(Datos!K23+Datos!AE23-(Datos!U23+Datos!AM23))/(Datos!U23+Datos!AM23))
     ),IF(Criterios!B14="SI",(Datos!K23-Datos!U23)/Datos!U23,(Datos!K23+Datos!AE23-(Datos!U23+Datos!AM23))/(Datos!U23+Datos!AM23))," - ")</f>
        <v>0.18652849740932642</v>
      </c>
      <c r="E23" s="1152">
        <f>IF(ISNUMBER(
   IF(Criterios!B14="SI",(Datos!L23-Datos!V23)/Datos!V23,(Datos!L23+Datos!AF23-(Datos!V23+Datos!AN23))/(Datos!V23+Datos!AN23))
     ),IF(Criterios!B14="SI",(Datos!L23-Datos!V23)/Datos!V23,(Datos!L23+Datos!AF23-(Datos!V23+Datos!AN23))/(Datos!V23+Datos!AN23))," - ")</f>
        <v>-2.3419203747072601E-2</v>
      </c>
      <c r="F23" s="1153">
        <f>IF(ISNUMBER((Datos!M23-Datos!W23)/Datos!W23),(Datos!M23-Datos!W23)/Datos!W23," - ")</f>
        <v>1.2941176470588236</v>
      </c>
      <c r="G23" s="1154">
        <f>IF(ISNUMBER((Datos!N23-Datos!X23)/Datos!X23),(Datos!N23-Datos!X23)/Datos!X23," - ")</f>
        <v>-5.1236749116607777E-2</v>
      </c>
      <c r="H23" s="1154">
        <f>IF(ISNUMBER(((NºAsuntos!G23/NºAsuntos!E23)-Datos!BD23)/Datos!BD23),((NºAsuntos!G23/NºAsuntos!E23)-Datos!BD23)/Datos!BD23," - ")</f>
        <v>-2.643815597183477E-2</v>
      </c>
      <c r="I23" s="1154">
        <f>IF(ISNUMBER(((NºAsuntos!I23/NºAsuntos!G23)-Datos!BE23)/Datos!BE23),((NºAsuntos!I23/NºAsuntos!G23)-Datos!BE23)/Datos!BE23," - ")</f>
        <v>-0.17694282237198694</v>
      </c>
      <c r="J23" s="1154">
        <f>IF(ISNUMBER((('Resol  Asuntos'!D23/NºAsuntos!G23)-Datos!BF23)/Datos!BF23),(('Resol  Asuntos'!D23/NºAsuntos!G23)-Datos!BF23)/Datos!BF23," - ")</f>
        <v>0.93347033136398661</v>
      </c>
      <c r="K23" s="1154">
        <f>IF(ISNUMBER((((NºAsuntos!C23+NºAsuntos!E23)/NºAsuntos!G23)-Datos!BG23)/Datos!BG23),(((NºAsuntos!C23+NºAsuntos!E23)/NºAsuntos!G23)-Datos!BG23)/Datos!BG23," - ")</f>
        <v>-9.9386390630562052E-2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-7.7277970011534025E-2</v>
      </c>
      <c r="C31" s="1092">
        <f>IF(ISNUMBER(
   IF(J_V="SI",(Datos!J31-Datos!T31)/Datos!T31,(Datos!J31+Datos!Z31-(Datos!T31+Datos!AH31))/(Datos!T31+Datos!AH31))
     ),IF(J_V="SI",(Datos!J31-Datos!T31)/Datos!T31,(Datos!J31+Datos!Z31-(Datos!T31+Datos!AH31))/(Datos!T31+Datos!AH31))," - ")</f>
        <v>0.19029567854435178</v>
      </c>
      <c r="D31" s="1092">
        <f>IF(ISNUMBER(
   IF(J_V="SI",(Datos!K31-Datos!U31)/Datos!U31,(Datos!K31+Datos!AA31-(Datos!U31+Datos!AI31))/(Datos!U31+Datos!AI31))
     ),IF(J_V="SI",(Datos!K31-Datos!U31)/Datos!U31,(Datos!K31+Datos!AA31-(Datos!U31+Datos!AI31))/(Datos!U31+Datos!AI31))," - ")</f>
        <v>0.12638580931263857</v>
      </c>
      <c r="E31" s="1092">
        <f>IF(ISNUMBER(
   IF(J_V="SI",(Datos!L31-Datos!V31)/Datos!V31,(Datos!L31+Datos!AB31-(Datos!V31+Datos!AJ31))/(Datos!V31+Datos!AJ31))
     ),IF(J_V="SI",(Datos!L31-Datos!V31)/Datos!V31,(Datos!L31+Datos!AB31-(Datos!V31+Datos!AJ31))/(Datos!V31+Datos!AJ31))," - ")</f>
        <v>6.8750000000000006E-2</v>
      </c>
      <c r="F31" s="1093">
        <f>IF(ISNUMBER((Datos!M31-Datos!W31)/Datos!W31),(Datos!M31-Datos!W31)/Datos!W31," - ")</f>
        <v>0.88764044943820219</v>
      </c>
      <c r="G31" s="1094">
        <f>IF(ISNUMBER((Datos!N31-Datos!X31)/Datos!X31),(Datos!N31-Datos!X31)/Datos!X31," - ")</f>
        <v>-5.9343434343434344E-2</v>
      </c>
      <c r="H31" s="1095">
        <f>IF(ISNUMBER((Tasas!B31-Datos!BD31)/Datos!BD31),(Tasas!B31-Datos!BD31)/Datos!BD31," - ")</f>
        <v>-5.3692431539254522E-2</v>
      </c>
      <c r="I31" s="1096">
        <f>IF(ISNUMBER((Tasas!C31-Datos!BE31)/Datos!BE31),(Tasas!C31-Datos!BE31)/Datos!BE31," - ")</f>
        <v>-5.1168799212598468E-2</v>
      </c>
      <c r="J31" s="1097">
        <f>IF(ISNUMBER((Tasas!D31-Datos!BF31)/Datos!BF31),(Tasas!D31-Datos!BF31)/Datos!BF31," - ")</f>
        <v>-4.391278013325256E-2</v>
      </c>
      <c r="K31" s="1097">
        <f>IF(ISNUMBER((Tasas!E31-Datos!BG31)/Datos!BG31),(Tasas!E31-Datos!BG31)/Datos!BG31," - ")</f>
        <v>-3.7477217223418985E-2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Df9gAmyG8K/i0H8j1pDD13QsnRESdY6c2gB/CwvwzEgmNTq85hxdrNkY/OiukSfA8MQSNI1BtdKQjT3bBKUsQ==" saltValue="kM8kLApdPkUvcr/YmG5Vj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SAN SEBASTIAN DE LA GOMERA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1.1428571428571428</v>
      </c>
      <c r="C10" s="498">
        <f>IF(ISNUMBER(NºAsuntos!I10/NºAsuntos!G10),NºAsuntos!I10/NºAsuntos!G10," - ")</f>
        <v>0.5</v>
      </c>
      <c r="D10" s="499">
        <f>IF(ISNUMBER('Resol  Asuntos'!D10/NºAsuntos!G10),'Resol  Asuntos'!D10/NºAsuntos!G10," - ")</f>
        <v>0.25</v>
      </c>
      <c r="E10" s="500">
        <f>IF(ISNUMBER((NºAsuntos!C10+NºAsuntos!E10)/NºAsuntos!G10),(NºAsuntos!C10+NºAsuntos!E10)/NºAsuntos!G10," - ")</f>
        <v>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0.90090090090090091</v>
      </c>
      <c r="C12" s="498">
        <f>IF(ISNUMBER(NºAsuntos!I12/NºAsuntos!G12),NºAsuntos!I12/NºAsuntos!G12," - ")</f>
        <v>0.72333333333333338</v>
      </c>
      <c r="D12" s="499">
        <f>IF(ISNUMBER('Resol  Asuntos'!D12/NºAsuntos!G12),'Resol  Asuntos'!D12/NºAsuntos!G12," - ")</f>
        <v>0.23166666666666666</v>
      </c>
      <c r="E12" s="500">
        <f>IF(ISNUMBER((NºAsuntos!C12+NºAsuntos!E12)/NºAsuntos!G12),(NºAsuntos!C12+NºAsuntos!E12)/NºAsuntos!G12," - ")</f>
        <v>1.7233333333333334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0.90341753343239228</v>
      </c>
      <c r="C14" s="1156">
        <f>IF(ISNUMBER(NºAsuntos!I14/NºAsuntos!G14),NºAsuntos!I14/NºAsuntos!G14," - ")</f>
        <v>0.72039473684210531</v>
      </c>
      <c r="D14" s="1157">
        <f>IF(ISNUMBER('Resol  Asuntos'!D14/NºAsuntos!G14),'Resol  Asuntos'!D14/NºAsuntos!G14," - ")</f>
        <v>0.23190789473684212</v>
      </c>
      <c r="E14" s="1158">
        <f>IF(ISNUMBER((NºAsuntos!C14+NºAsuntos!E14)/NºAsuntos!G14),(NºAsuntos!C14+NºAsuntos!E14)/NºAsuntos!G14," - ")</f>
        <v>1.7203947368421053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1.0249406175771971</v>
      </c>
      <c r="C17" s="498">
        <f>IF(ISNUMBER(NºAsuntos!I17/NºAsuntos!G17),NºAsuntos!I17/NºAsuntos!G17," - ")</f>
        <v>0.46349942062572425</v>
      </c>
      <c r="D17" s="499">
        <f>IF(ISNUMBER('Resol  Asuntos'!D17/NºAsuntos!G17),'Resol  Asuntos'!D17/NºAsuntos!G17," - ")</f>
        <v>0.21205098493626884</v>
      </c>
      <c r="E17" s="500">
        <f>IF(ISNUMBER((NºAsuntos!C17+NºAsuntos!E17)/NºAsuntos!G17),(NºAsuntos!C17+NºAsuntos!E17)/NºAsuntos!G17," - ")</f>
        <v>1.4542294322132097</v>
      </c>
      <c r="G17" s="523"/>
    </row>
    <row r="18" spans="1:7">
      <c r="A18" s="450" t="str">
        <f>Datos!A18</f>
        <v>Jdos. Violencia contra la mujer</v>
      </c>
      <c r="B18" s="497">
        <f>IF(ISNUMBER(NºAsuntos!G18/NºAsuntos!E18),NºAsuntos!G18/NºAsuntos!E18," - ")</f>
        <v>0.96363636363636362</v>
      </c>
      <c r="C18" s="498">
        <f>IF(ISNUMBER(NºAsuntos!I18/NºAsuntos!G18),NºAsuntos!I18/NºAsuntos!G18," - ")</f>
        <v>0.32075471698113206</v>
      </c>
      <c r="D18" s="499">
        <f>IF(ISNUMBER('Resol  Asuntos'!D18/NºAsuntos!G18),'Resol  Asuntos'!D18/NºAsuntos!G18," - ")</f>
        <v>0.22641509433962265</v>
      </c>
      <c r="E18" s="500">
        <f>IF(ISNUMBER((NºAsuntos!C18+NºAsuntos!E18)/NºAsuntos!G18),(NºAsuntos!C18+NºAsuntos!E18)/NºAsuntos!G18," - ")</f>
        <v>1.3018867924528301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1.0211817168338908</v>
      </c>
      <c r="C23" s="1156">
        <f>IF(ISNUMBER(NºAsuntos!I23/NºAsuntos!G23),NºAsuntos!I23/NºAsuntos!G23," - ")</f>
        <v>0.45524017467248906</v>
      </c>
      <c r="D23" s="1159">
        <f>IF(ISNUMBER('Resol  Asuntos'!D23/NºAsuntos!G23),'Resol  Asuntos'!D23/NºAsuntos!G23," - ")</f>
        <v>0.21288209606986899</v>
      </c>
      <c r="E23" s="1158">
        <f>IF(ISNUMBER((NºAsuntos!C23+NºAsuntos!E23)/NºAsuntos!G23),(NºAsuntos!C23+NºAsuntos!E23)/NºAsuntos!G23," - ")</f>
        <v>1.445414847161572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0.97070063694267517</v>
      </c>
      <c r="C31" s="1099">
        <f>IF(ISNUMBER(NºAsuntos!I31/NºAsuntos!G31),NºAsuntos!I31/NºAsuntos!G31," - ")</f>
        <v>0.5610236220472441</v>
      </c>
      <c r="D31" s="1100">
        <f>IF(ISNUMBER('Resol  Asuntos'!D31/NºAsuntos!G31),'Resol  Asuntos'!D31/NºAsuntos!G31," - ")</f>
        <v>0.22047244094488189</v>
      </c>
      <c r="E31" s="1101">
        <f>IF(ISNUMBER((NºAsuntos!C31+NºAsuntos!E31)/NºAsuntos!G31),(NºAsuntos!C31+NºAsuntos!E31)/NºAsuntos!G31," - ")</f>
        <v>1.5551181102362204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mZdRTtQWMN3aEVKL0iRv7uou3VfBaPBRn5FM2uNT4neKE2jQNsANqrSUpAbX5HoO0bbTrmeeqx6urP0Ed9N/Q==" saltValue="YnfkRGgx6ASpbiunUYcyV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SAN SEBASTIAN DE LA GOMERA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1</v>
      </c>
      <c r="Y10" s="374">
        <f t="shared" ref="Y10:Y13" si="0">SUM(W10:X10)</f>
        <v>9</v>
      </c>
      <c r="Z10" s="375" t="str">
        <f>IF(ISNUMBER(Datos!CC10),Datos!CC10," - ")</f>
        <v xml:space="preserve"> - </v>
      </c>
      <c r="AA10" s="372">
        <f>IF(ISNUMBER(Datos!L10),Datos!L10,"-")</f>
        <v>4</v>
      </c>
      <c r="AB10" s="374">
        <f>IF(ISNUMBER(Datos!R10),Datos!R10," - ")</f>
        <v>2</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1.1428571428571428</v>
      </c>
      <c r="AM10" s="284">
        <f>IF(ISNUMBER(((NºAsuntos!I10/NºAsuntos!G10)*11)/factor_trimestre),((NºAsuntos!I10/NºAsuntos!G10)*11)/factor_trimestre," - ")</f>
        <v>5.5</v>
      </c>
      <c r="AN10" s="267">
        <f>IF(ISNUMBER('Resol  Asuntos'!D10/NºAsuntos!G10),'Resol  Asuntos'!D10/NºAsuntos!G10," - ")</f>
        <v>0.25</v>
      </c>
      <c r="AO10" s="268">
        <f>IF(ISNUMBER((NºAsuntos!C10+NºAsuntos!E10)/NºAsuntos!G10),(NºAsuntos!C10+NºAsuntos!E10)/NºAsuntos!G10," - ")</f>
        <v>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230</v>
      </c>
      <c r="Y12" s="374">
        <f t="shared" si="0"/>
        <v>230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743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139</v>
      </c>
      <c r="AJ12" s="243" t="str">
        <f>IF(ISNUMBER(Datos!BW12),Datos!BW12," - ")</f>
        <v xml:space="preserve"> - </v>
      </c>
      <c r="AK12" s="242" t="str">
        <f>IF(ISNUMBER(Datos!BX12),Datos!BX12," - ")</f>
        <v xml:space="preserve"> - </v>
      </c>
      <c r="AL12" s="266">
        <f>IF(ISNUMBER(NºAsuntos!G12/NºAsuntos!E12),NºAsuntos!G12/NºAsuntos!E12," - ")</f>
        <v>0.90090090090090091</v>
      </c>
      <c r="AM12" s="284">
        <f>IF(ISNUMBER(((NºAsuntos!I12/NºAsuntos!G12)*11)/factor_trimestre),((NºAsuntos!I12/NºAsuntos!G12)*11)/factor_trimestre," - ")</f>
        <v>7.956666666666667</v>
      </c>
      <c r="AN12" s="267">
        <f>IF(ISNUMBER('Resol  Asuntos'!D12/NºAsuntos!G12),'Resol  Asuntos'!D12/NºAsuntos!G12," - ")</f>
        <v>0.23166666666666666</v>
      </c>
      <c r="AO12" s="268">
        <f>IF(ISNUMBER((NºAsuntos!C12+NºAsuntos!E12)/NºAsuntos!G12),(NºAsuntos!C12+NºAsuntos!E12)/NºAsuntos!G12," - ")</f>
        <v>1.7233333333333334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5</v>
      </c>
      <c r="G14" s="1163">
        <f t="shared" si="5"/>
        <v>5</v>
      </c>
      <c r="H14" s="1162">
        <f t="shared" si="5"/>
        <v>0</v>
      </c>
      <c r="I14" s="1164">
        <f t="shared" si="5"/>
        <v>0</v>
      </c>
      <c r="J14" s="1164">
        <f t="shared" si="5"/>
        <v>0</v>
      </c>
      <c r="K14" s="1164">
        <f t="shared" si="5"/>
        <v>0</v>
      </c>
      <c r="L14" s="1164">
        <f t="shared" si="5"/>
        <v>145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231</v>
      </c>
      <c r="Y14" s="1165">
        <f t="shared" si="6"/>
        <v>239</v>
      </c>
      <c r="Z14" s="1165">
        <f t="shared" si="6"/>
        <v>0</v>
      </c>
      <c r="AA14" s="1165">
        <f t="shared" si="6"/>
        <v>4</v>
      </c>
      <c r="AB14" s="1165">
        <f t="shared" si="6"/>
        <v>745</v>
      </c>
      <c r="AC14" s="1165">
        <f t="shared" si="6"/>
        <v>6</v>
      </c>
      <c r="AD14" s="1165">
        <f t="shared" si="6"/>
        <v>0</v>
      </c>
      <c r="AE14" s="1169">
        <f t="shared" si="6"/>
        <v>0</v>
      </c>
      <c r="AF14" s="1162">
        <f t="shared" si="6"/>
        <v>0</v>
      </c>
      <c r="AG14" s="1170">
        <f t="shared" si="6"/>
        <v>0</v>
      </c>
      <c r="AH14" s="1167">
        <f t="shared" si="6"/>
        <v>0</v>
      </c>
      <c r="AI14" s="1162">
        <f t="shared" si="6"/>
        <v>141</v>
      </c>
      <c r="AJ14" s="1164">
        <f t="shared" si="6"/>
        <v>0</v>
      </c>
      <c r="AK14" s="1167">
        <f>SUBTOTAL(9,AK9:AK13)</f>
        <v>0</v>
      </c>
      <c r="AL14" s="1171">
        <f>IF(ISNUMBER(NºAsuntos!G14/NºAsuntos!E14),NºAsuntos!G14/NºAsuntos!E14," - ")</f>
        <v>0.90341753343239228</v>
      </c>
      <c r="AM14" s="1171">
        <f>IF(ISNUMBER(((NºAsuntos!I14/NºAsuntos!G14)*11)/factor_trimestre),((NºAsuntos!I14/NºAsuntos!G14)*11)/factor_trimestre," - ")</f>
        <v>7.9243421052631584</v>
      </c>
      <c r="AN14" s="1172">
        <f>IF(ISNUMBER('Resol  Asuntos'!D14/NºAsuntos!G14),'Resol  Asuntos'!D14/NºAsuntos!G14," - ")</f>
        <v>0.23190789473684212</v>
      </c>
      <c r="AO14" s="1173">
        <f>IF(ISNUMBER((NºAsuntos!C14+NºAsuntos!E14)/NºAsuntos!G14),(NºAsuntos!C14+NºAsuntos!E14)/NºAsuntos!G14," - ")</f>
        <v>1.7203947368421053</v>
      </c>
      <c r="AP14" s="1174" t="str">
        <f t="shared" si="2"/>
        <v xml:space="preserve"> - </v>
      </c>
      <c r="AQ14" s="1174">
        <f>IF(ISNUMBER((H14-W14+K14)/(F14)),(H14-W14+K14)/(F14)," - ")</f>
        <v>-1.6</v>
      </c>
      <c r="AR14" s="1175">
        <f>IF(ISNUMBER((Datos!P14-Datos!Q14)/(Datos!R14-Datos!P14+Datos!Q14)),(Datos!P14-Datos!Q14)/(Datos!R14-Datos!P14+Datos!Q14)," - ")</f>
        <v>-0.10348977135980746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421</v>
      </c>
      <c r="G17" s="373">
        <f>IF(ISNUMBER(IF(D_I="SI",Datos!I17,Datos!I17+Datos!AC17)),IF(D_I="SI",Datos!I17,Datos!I17+Datos!AC17)," - ")</f>
        <v>413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863</v>
      </c>
      <c r="X17" s="240">
        <f>IF(ISNUMBER(Datos!Q17),Datos!Q17," - ")</f>
        <v>22</v>
      </c>
      <c r="Y17" s="374">
        <f t="shared" ref="Y17:Y22" si="9">SUM(W17:X17)</f>
        <v>885</v>
      </c>
      <c r="Z17" s="375" t="str">
        <f>IF(ISNUMBER(Datos!CC17),Datos!CC17," - ")</f>
        <v xml:space="preserve"> - </v>
      </c>
      <c r="AA17" s="372">
        <f>IF(ISNUMBER(IF(D_I="SI",Datos!L17,Datos!L17+Datos!AF17)),IF(D_I="SI",Datos!L17,Datos!L17+Datos!AF17)," - ")</f>
        <v>400</v>
      </c>
      <c r="AB17" s="374">
        <f>IF(ISNUMBER(Datos!R17),Datos!R17," - ")</f>
        <v>23</v>
      </c>
      <c r="AC17" s="374">
        <f t="shared" si="8"/>
        <v>423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183</v>
      </c>
      <c r="AJ17" s="245" t="str">
        <f>IF(ISNUMBER(Datos!BW17),Datos!BW17," - ")</f>
        <v xml:space="preserve"> - </v>
      </c>
      <c r="AK17" s="246" t="str">
        <f>IF(ISNUMBER(Datos!BX17),Datos!BX17," - ")</f>
        <v xml:space="preserve"> - </v>
      </c>
      <c r="AL17" s="266">
        <f>IF(ISNUMBER(NºAsuntos!G17/NºAsuntos!E17),NºAsuntos!G17/NºAsuntos!E17," - ")</f>
        <v>1.0249406175771971</v>
      </c>
      <c r="AM17" s="284">
        <f>IF(ISNUMBER(((NºAsuntos!I17/NºAsuntos!G17)*11)/factor_trimestre),((NºAsuntos!I17/NºAsuntos!G17)*11)/factor_trimestre," - ")</f>
        <v>5.0984936268829664</v>
      </c>
      <c r="AN17" s="267">
        <f>IF(ISNUMBER('Resol  Asuntos'!D17/NºAsuntos!G17),'Resol  Asuntos'!D17/NºAsuntos!G17," - ")</f>
        <v>0.21205098493626884</v>
      </c>
      <c r="AO17" s="268">
        <f>IF(ISNUMBER((NºAsuntos!C17+NºAsuntos!E17)/NºAsuntos!G17),(NºAsuntos!C17+NºAsuntos!E17)/NºAsuntos!G17," - ")</f>
        <v>1.4542294322132097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53</v>
      </c>
      <c r="X18" s="240">
        <f>IF(ISNUMBER(Datos!Q18),Datos!Q18," - ")</f>
        <v>0</v>
      </c>
      <c r="Y18" s="374">
        <f t="shared" si="9"/>
        <v>53</v>
      </c>
      <c r="Z18" s="375" t="str">
        <f>IF(ISNUMBER(Datos!CC18),Datos!CC18," - ")</f>
        <v xml:space="preserve"> - </v>
      </c>
      <c r="AA18" s="372">
        <f>IF(ISNUMBER(Datos!L18),Datos!L18,"-")</f>
        <v>17</v>
      </c>
      <c r="AB18" s="374">
        <f>IF(ISNUMBER(Datos!R18),Datos!R18," - ")</f>
        <v>1</v>
      </c>
      <c r="AC18" s="374">
        <f t="shared" si="8"/>
        <v>18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0.96363636363636362</v>
      </c>
      <c r="AM18" s="284">
        <f>IF(ISNUMBER(((NºAsuntos!I18/NºAsuntos!G18)*11)/factor_trimestre),((NºAsuntos!I18/NºAsuntos!G18)*11)/factor_trimestre," - ")</f>
        <v>3.5283018867924527</v>
      </c>
      <c r="AN18" s="267">
        <f>IF(ISNUMBER('Resol  Asuntos'!D18/NºAsuntos!G18),'Resol  Asuntos'!D18/NºAsuntos!G18," - ")</f>
        <v>0.22641509433962265</v>
      </c>
      <c r="AO18" s="268">
        <f>IF(ISNUMBER((NºAsuntos!C18+NºAsuntos!E18)/NºAsuntos!G18),(NºAsuntos!C18+NºAsuntos!E18)/NºAsuntos!G18," - ")</f>
        <v>1.3018867924528301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421</v>
      </c>
      <c r="G23" s="1163">
        <f>SUBTOTAL(9,G16:G22)</f>
        <v>427</v>
      </c>
      <c r="H23" s="1162">
        <f t="shared" ref="H23:O23" si="13">SUBTOTAL(9,H15:H22)</f>
        <v>0</v>
      </c>
      <c r="I23" s="1164">
        <f t="shared" si="13"/>
        <v>0</v>
      </c>
      <c r="J23" s="1164">
        <f t="shared" si="13"/>
        <v>0</v>
      </c>
      <c r="K23" s="1164">
        <f t="shared" si="13"/>
        <v>0</v>
      </c>
      <c r="L23" s="1164">
        <f t="shared" si="13"/>
        <v>25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916</v>
      </c>
      <c r="X23" s="1164">
        <f t="shared" si="14"/>
        <v>22</v>
      </c>
      <c r="Y23" s="1165">
        <f t="shared" si="14"/>
        <v>938</v>
      </c>
      <c r="Z23" s="1165">
        <f t="shared" si="14"/>
        <v>0</v>
      </c>
      <c r="AA23" s="1165">
        <f t="shared" si="14"/>
        <v>417</v>
      </c>
      <c r="AB23" s="1165">
        <f t="shared" si="14"/>
        <v>24</v>
      </c>
      <c r="AC23" s="1165">
        <f t="shared" si="14"/>
        <v>441</v>
      </c>
      <c r="AD23" s="1165">
        <f t="shared" si="14"/>
        <v>0</v>
      </c>
      <c r="AE23" s="1169">
        <f t="shared" si="14"/>
        <v>0</v>
      </c>
      <c r="AF23" s="1162">
        <f t="shared" si="14"/>
        <v>0</v>
      </c>
      <c r="AG23" s="1170">
        <f t="shared" si="14"/>
        <v>0</v>
      </c>
      <c r="AH23" s="1167">
        <f t="shared" si="14"/>
        <v>0</v>
      </c>
      <c r="AI23" s="1162">
        <f t="shared" si="14"/>
        <v>195</v>
      </c>
      <c r="AJ23" s="1164">
        <f t="shared" si="14"/>
        <v>0</v>
      </c>
      <c r="AK23" s="1167">
        <f t="shared" si="14"/>
        <v>0</v>
      </c>
      <c r="AL23" s="1171">
        <f>IF(ISNUMBER(NºAsuntos!G23/NºAsuntos!E23),NºAsuntos!G23/NºAsuntos!E23," - ")</f>
        <v>1.0211817168338908</v>
      </c>
      <c r="AM23" s="1171">
        <f>IF(ISNUMBER(((NºAsuntos!I23/NºAsuntos!G23)*11)/factor_trimestre),((NºAsuntos!I23/NºAsuntos!G23)*11)/factor_trimestre," - ")</f>
        <v>5.0076419213973793</v>
      </c>
      <c r="AN23" s="1172">
        <f>IF(ISNUMBER('Resol  Asuntos'!D23/NºAsuntos!G23),'Resol  Asuntos'!D23/NºAsuntos!G23," - ")</f>
        <v>0.21288209606986899</v>
      </c>
      <c r="AO23" s="1173">
        <f>IF(ISNUMBER((NºAsuntos!C23+NºAsuntos!E23)/NºAsuntos!G23),(NºAsuntos!C23+NºAsuntos!E23)/NºAsuntos!G23," - ")</f>
        <v>1.445414847161572</v>
      </c>
      <c r="AP23" s="1174" t="str">
        <f t="shared" si="2"/>
        <v xml:space="preserve"> - </v>
      </c>
      <c r="AQ23" s="1174">
        <f>IF(ISNUMBER((H23-W23+K23)/(F23)),(H23-W23+K23)/(F23)," - ")</f>
        <v>-2.1757719714964372</v>
      </c>
      <c r="AR23" s="1175">
        <f>IF(ISNUMBER((Datos!P23-Datos!Q23)/(Datos!R23-Datos!P23+Datos!Q23)),(Datos!P23-Datos!Q23)/(Datos!R23-Datos!P23+Datos!Q23)," - ")</f>
        <v>0.14285714285714285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426</v>
      </c>
      <c r="G31" s="1118">
        <f t="shared" si="20"/>
        <v>432</v>
      </c>
      <c r="H31" s="1117">
        <f t="shared" si="20"/>
        <v>0</v>
      </c>
      <c r="I31" s="1119">
        <f t="shared" si="20"/>
        <v>0</v>
      </c>
      <c r="J31" s="1119">
        <f t="shared" si="20"/>
        <v>0</v>
      </c>
      <c r="K31" s="1180">
        <f t="shared" si="20"/>
        <v>0</v>
      </c>
      <c r="L31" s="1119">
        <f t="shared" si="20"/>
        <v>170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924</v>
      </c>
      <c r="X31" s="1118">
        <f t="shared" si="21"/>
        <v>253</v>
      </c>
      <c r="Y31" s="1125">
        <f t="shared" si="21"/>
        <v>1177</v>
      </c>
      <c r="Z31" s="1125">
        <f t="shared" si="21"/>
        <v>0</v>
      </c>
      <c r="AA31" s="1125">
        <f t="shared" si="21"/>
        <v>421</v>
      </c>
      <c r="AB31" s="1125">
        <f t="shared" si="21"/>
        <v>769</v>
      </c>
      <c r="AC31" s="1125">
        <f t="shared" si="21"/>
        <v>447</v>
      </c>
      <c r="AD31" s="1125">
        <f t="shared" si="21"/>
        <v>0</v>
      </c>
      <c r="AE31" s="1127">
        <f t="shared" si="21"/>
        <v>0</v>
      </c>
      <c r="AF31" s="1128">
        <f t="shared" si="21"/>
        <v>0</v>
      </c>
      <c r="AG31" s="1129">
        <f t="shared" si="21"/>
        <v>0</v>
      </c>
      <c r="AH31" s="1127">
        <f t="shared" si="21"/>
        <v>0</v>
      </c>
      <c r="AI31" s="1117">
        <f t="shared" si="21"/>
        <v>336</v>
      </c>
      <c r="AJ31" s="1117">
        <f t="shared" si="21"/>
        <v>0</v>
      </c>
      <c r="AK31" s="1127">
        <f t="shared" si="21"/>
        <v>0</v>
      </c>
      <c r="AL31" s="1183">
        <f>IF(ISNUMBER(NºAsuntos!G31/NºAsuntos!E31),NºAsuntos!G31/NºAsuntos!E31," - ")</f>
        <v>0.97070063694267517</v>
      </c>
      <c r="AM31" s="1184">
        <f>IF(ISNUMBER(((NºAsuntos!I31/NºAsuntos!G31)*11)/factor_trimestre),((NºAsuntos!I31/NºAsuntos!G31)*11)/factor_trimestre," - ")</f>
        <v>6.1712598425196852</v>
      </c>
      <c r="AN31" s="1184">
        <f>IF(ISNUMBER('Resol  Asuntos'!D31/NºAsuntos!G31),'Resol  Asuntos'!D31/NºAsuntos!G31," - ")</f>
        <v>0.22047244094488189</v>
      </c>
      <c r="AO31" s="1185">
        <f>IF(ISNUMBER((NºAsuntos!C31+NºAsuntos!E31)/NºAsuntos!G31),(NºAsuntos!C31+NºAsuntos!E31)/NºAsuntos!G31," - ")</f>
        <v>1.5551181102362204</v>
      </c>
      <c r="AP31" s="1186" t="str">
        <f t="shared" si="2"/>
        <v xml:space="preserve"> - </v>
      </c>
      <c r="AQ31" s="1187">
        <f>IF(OR(ISNUMBER(FIND("01",Criterios!A8,1)),ISNUMBER(FIND("02",Criterios!A8,1)),ISNUMBER(FIND("03",Criterios!A8,1)),ISNUMBER(FIND("04",Criterios!A8,1))),(I31-W31+K31)/(F31-K31),(H31-W31+K31)/(F31-K31))</f>
        <v>-2.1690140845070425</v>
      </c>
      <c r="AR31" s="1188">
        <f>IF(ISNUMBER((Datos!P31-Datos!Q31)/(Datos!R31-Datos!P31+Datos!Q31)),(Datos!P31-Datos!Q31)/(Datos!R31-Datos!P31+Datos!Q31)," - ")</f>
        <v>-9.7417840375586859E-2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123.42857142857143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216.12403845939951</v>
      </c>
      <c r="G33" s="277">
        <f>IF(ISNUMBER(STDEV(G8:G30)),STDEV(G8:G30),"-")</f>
        <v>202.69094466112452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427.95833130496868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88.168669524464789</v>
      </c>
      <c r="AJ33" s="276">
        <f t="shared" si="25"/>
        <v>0</v>
      </c>
      <c r="AK33" s="278">
        <f t="shared" si="25"/>
        <v>0</v>
      </c>
      <c r="AL33" s="273">
        <f t="shared" si="25"/>
        <v>9.1258831569382332E-2</v>
      </c>
      <c r="AM33" s="274">
        <f t="shared" si="25"/>
        <v>1.7622065229187933</v>
      </c>
      <c r="AN33" s="274">
        <f t="shared" si="25"/>
        <v>1.4117874161707608E-2</v>
      </c>
      <c r="AO33" s="275">
        <f t="shared" si="25"/>
        <v>0.16688813111789344</v>
      </c>
      <c r="AP33" s="317" t="str">
        <f t="shared" si="25"/>
        <v>-</v>
      </c>
      <c r="AQ33" s="318">
        <f t="shared" si="25"/>
        <v>0.40713226546227849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TCMq7jL2hCJOf1FC/Hv9WlQYLi9npwXOCTtmgoWSoNNJyt1myBkOobIwhDoWAo3t0YcFO+ZSQvbFxhFlyEtJKA==" saltValue="xutsuf6QFcZFEcF8USO+O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SAN SEBASTIAN DE LA GOMERA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0</v>
      </c>
      <c r="F10" s="393">
        <f>IF(ISNUMBER((Datos!K10-Datos!U10)/Datos!U10),(Datos!K10-Datos!U10)/Datos!U10," - ")</f>
        <v>0.33333333333333331</v>
      </c>
      <c r="G10" s="394">
        <f>IF(ISNUMBER((Datos!L10-Datos!V10)/Datos!V10),(Datos!L10-Datos!V10)/Datos!V10," - ")</f>
        <v>-0.2</v>
      </c>
      <c r="H10" s="244">
        <f>IF(ISNUMBER((Datos!M10-Datos!W10)/Datos!W10),(Datos!M10-Datos!W10)/Datos!W10," - ")</f>
        <v>0</v>
      </c>
      <c r="I10" s="395">
        <f>IF(ISNUMBER((Tasas!C10-Datos!BE10)/Datos!BE10),(Tasas!C10-Datos!BE10)/Datos!BE10," - ")</f>
        <v>-0.4</v>
      </c>
      <c r="J10" s="394">
        <f>IF(ISNUMBER((Tasas!D10-Datos!BF10)/Datos!BF10),(Tasas!D10-Datos!BF10)/Datos!BF10," - ")</f>
        <v>-0.24999999999999994</v>
      </c>
      <c r="K10" s="396">
        <f>IF(ISNUMBER((Tasas!E10-Datos!BG10)/Datos!BG10),(Tasas!E10-Datos!BG10)/Datos!BG10," - ")</f>
        <v>-0.1818181818181818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0.52747252747252749</v>
      </c>
      <c r="I12" s="395">
        <f>IF(ISNUMBER((Tasas!C12-Datos!BE12)/Datos!BE12),(Tasas!C12-Datos!BE12)/Datos!BE12," - ")</f>
        <v>0.1302083333333334</v>
      </c>
      <c r="J12" s="394">
        <f>IF(ISNUMBER((Tasas!D12-Datos!BF12)/Datos!BF12),(Tasas!D12-Datos!BF12)/Datos!BF12," - ")</f>
        <v>-0.40796296296296303</v>
      </c>
      <c r="K12" s="396">
        <f>IF(ISNUMBER((Tasas!E12-Datos!BG12)/Datos!BG12),(Tasas!E12-Datos!BG12)/Datos!BG12," - ")</f>
        <v>5.867165242165244E-2</v>
      </c>
      <c r="M12" t="e">
        <f>IF(Monitorios="SI",Datos!CE12,0)</f>
        <v>#REF!</v>
      </c>
      <c r="N12" t="e">
        <f>IF(Monitorios="SI",Datos!CF12,0)</f>
        <v>#REF!</v>
      </c>
      <c r="O12" t="e">
        <f>IF(Monitorios="SI",Datos!CG12,0)</f>
        <v>#REF!</v>
      </c>
      <c r="P12" t="e">
        <f>IF(Monitorios="SI",Datos!CH12,0)</f>
        <v>#REF!</v>
      </c>
      <c r="Q12">
        <f>IF(J_V="SI",0,Datos!AG12)</f>
        <v>20</v>
      </c>
      <c r="R12">
        <f>IF(J_V="SI",0,Datos!AH12)</f>
        <v>42</v>
      </c>
      <c r="S12">
        <f>IF(J_V="SI",0,Datos!AI12)</f>
        <v>43</v>
      </c>
      <c r="T12">
        <f>IF(J_V="SI",0,Datos!AJ12)</f>
        <v>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0.5161290322580645</v>
      </c>
      <c r="I14" s="402">
        <f>IF(ISNUMBER((Tasas!C14-Datos!BE14)/Datos!BE14),(Tasas!C14-Datos!BE14)/Datos!BE14," - ")</f>
        <v>0.12211619867362783</v>
      </c>
      <c r="J14" s="400">
        <f>IF(ISNUMBER((Tasas!D14-Datos!BF14)/Datos!BF14),(Tasas!D14-Datos!BF14)/Datos!BF14," - ")</f>
        <v>-0.40643838395548337</v>
      </c>
      <c r="K14" s="403">
        <f>IF(ISNUMBER((Tasas!E14-Datos!BG14)/Datos!BG14),(Tasas!E14-Datos!BG14)/Datos!BG14," - ")</f>
        <v>5.5490329572611623E-2</v>
      </c>
      <c r="M14" t="e">
        <f>IF(Monitorios="SI",Datos!CE14,0)</f>
        <v>#REF!</v>
      </c>
      <c r="N14" t="e">
        <f>IF(Monitorios="SI",Datos!CF14,0)</f>
        <v>#REF!</v>
      </c>
      <c r="O14" t="e">
        <f>IF(Monitorios="SI",Datos!CG14,0)</f>
        <v>#REF!</v>
      </c>
      <c r="P14" t="e">
        <f>IF(Monitorios="SI",Datos!CH14,0)</f>
        <v>#REF!</v>
      </c>
      <c r="Q14">
        <f>IF(J_V="SI",0,Datos!AG14)</f>
        <v>20</v>
      </c>
      <c r="R14">
        <f>IF(J_V="SI",0,Datos!AH14)</f>
        <v>42</v>
      </c>
      <c r="S14">
        <f>IF(J_V="SI",0,Datos!AI14)</f>
        <v>43</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-0.13417190775681342</v>
      </c>
      <c r="E17" s="393">
        <f>IF(ISNUMBER(
   IF(D_I="SI",(Datos!J17-Datos!T17)/Datos!T17,(Datos!J17+Datos!AD17-(Datos!T17+Datos!AL17))/(Datos!T17+Datos!AL17))
     ),IF(D_I="SI",(Datos!J17-Datos!T17)/Datos!T17,(Datos!J17+Datos!AD17-(Datos!T17+Datos!AL17))/(Datos!T17+Datos!AL17))," - ")</f>
        <v>0.21151079136690648</v>
      </c>
      <c r="F17" s="393">
        <f>IF(ISNUMBER(
   IF(D_I="SI",(Datos!K17-Datos!U17)/Datos!U17,(Datos!K17+Datos!AE17-(Datos!U17+Datos!AM17))/(Datos!U17+Datos!AM17))
     ),IF(D_I="SI",(Datos!K17-Datos!U17)/Datos!U17,(Datos!K17+Datos!AE17-(Datos!U17+Datos!AM17))/(Datos!U17+Datos!AM17))," - ")</f>
        <v>0.18870523415977961</v>
      </c>
      <c r="G17" s="394">
        <f>IF(ISNUMBER(
   IF(D_I="SI",(Datos!L17-Datos!V17)/Datos!V17,(Datos!L17+Datos!AF17-(Datos!V17+Datos!AN17))/(Datos!V17+Datos!AN17))
     ),IF(D_I="SI",(Datos!L17-Datos!V17)/Datos!V17,(Datos!L17+Datos!AF17-(Datos!V17+Datos!AN17))/(Datos!V17+Datos!AN17))," - ")</f>
        <v>-3.1476997578692496E-2</v>
      </c>
      <c r="H17" s="244">
        <f>IF(ISNUMBER((Datos!M17-Datos!W17)/Datos!W17),(Datos!M17-Datos!W17)/Datos!W17," - ")</f>
        <v>1.6911764705882353</v>
      </c>
      <c r="I17" s="395">
        <f>IF(ISNUMBER((Tasas!C17-Datos!BE17)/Datos!BE17),(Tasas!C17-Datos!BE17)/Datos!BE17," - ")</f>
        <v>-0.18522862136979229</v>
      </c>
      <c r="J17" s="394">
        <f>IF(ISNUMBER((Tasas!D17-Datos!BF17)/Datos!BF17),(Tasas!D17-Datos!BF17)/Datos!BF17," - ")</f>
        <v>1.2639561038783995</v>
      </c>
      <c r="K17" s="396">
        <f>IF(ISNUMBER((Tasas!E17-Datos!BG17)/Datos!BG17),(Tasas!E17-Datos!BG17)/Datos!BG17," - ")</f>
        <v>-9.9171870489086905E-2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-0.46153846153846156</v>
      </c>
      <c r="E18" s="393">
        <f>IF(ISNUMBER(
   IF(D_I="SI",(Datos!J18-Datos!T18)/Datos!T18,(Datos!J18+Datos!AD18-(Datos!T18+Datos!AL18))/(Datos!T18+Datos!AL18))
     ),IF(D_I="SI",(Datos!J18-Datos!T18)/Datos!T18,(Datos!J18+Datos!AD18-(Datos!T18+Datos!AL18))/(Datos!T18+Datos!AL18))," - ")</f>
        <v>0.34146341463414637</v>
      </c>
      <c r="F18" s="393">
        <f>IF(ISNUMBER(
   IF(D_I="SI",(Datos!K18-Datos!U18)/Datos!U18,(Datos!K18+Datos!AE18-(Datos!U18+Datos!AM18))/(Datos!U18+Datos!AM18))
     ),IF(D_I="SI",(Datos!K18-Datos!U18)/Datos!U18,(Datos!K18+Datos!AE18-(Datos!U18+Datos!AM18))/(Datos!U18+Datos!AM18))," - ")</f>
        <v>0.15217391304347827</v>
      </c>
      <c r="G18" s="394">
        <f>IF(ISNUMBER(
   IF(D_I="SI",(Datos!L18-Datos!V18)/Datos!V18,(Datos!L18+Datos!AF18-(Datos!V18+Datos!AN18))/(Datos!V18+Datos!AN18))
     ),IF(D_I="SI",(Datos!L18-Datos!V18)/Datos!V18,(Datos!L18+Datos!AF18-(Datos!V18+Datos!AN18))/(Datos!V18+Datos!AN18))," - ")</f>
        <v>0.21428571428571427</v>
      </c>
      <c r="H18" s="244">
        <f>IF(ISNUMBER((Datos!M18-Datos!W18)/Datos!W18),(Datos!M18-Datos!W18)/Datos!W18," - ")</f>
        <v>-0.29411764705882354</v>
      </c>
      <c r="I18" s="395">
        <f>IF(ISNUMBER((Tasas!C18-Datos!BE18)/Datos!BE18),(Tasas!C18-Datos!BE18)/Datos!BE18," - ")</f>
        <v>5.3908355795148133E-2</v>
      </c>
      <c r="J18" s="394">
        <f>IF(ISNUMBER((Tasas!D18-Datos!BF18)/Datos!BF18),(Tasas!D18-Datos!BF18)/Datos!BF18," - ")</f>
        <v>-0.38734739178690336</v>
      </c>
      <c r="K18" s="396">
        <f>IF(ISNUMBER((Tasas!E18-Datos!BG18)/Datos!BG18),(Tasas!E18-Datos!BG18)/Datos!BG18," - ")</f>
        <v>-0.10616727682343008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-0.15109343936381708</v>
      </c>
      <c r="E23" s="399">
        <f>IF(ISNUMBER(
   IF(D_I="SI",(Datos!J23-Datos!T23)/Datos!T23,(Datos!J23+Datos!AD23-(Datos!T23+Datos!AL23))/(Datos!T23+Datos!AL23))
     ),IF(D_I="SI",(Datos!J23-Datos!T23)/Datos!T23,(Datos!J23+Datos!AD23-(Datos!T23+Datos!AL23))/(Datos!T23+Datos!AL23))," - ")</f>
        <v>0.21875</v>
      </c>
      <c r="F23" s="399">
        <f>IF(ISNUMBER(
   IF(D_I="SI",(Datos!K23-Datos!U23)/Datos!U23,(Datos!K23+Datos!AE23-(Datos!U23+Datos!AM23))/(Datos!U23+Datos!AM23))
     ),IF(D_I="SI",(Datos!K23-Datos!U23)/Datos!U23,(Datos!K23+Datos!AE23-(Datos!U23+Datos!AM23))/(Datos!U23+Datos!AM23))," - ")</f>
        <v>0.18652849740932642</v>
      </c>
      <c r="G23" s="400">
        <f>IF(ISNUMBER(
   IF(D_I="SI",(Datos!L23-Datos!V23)/Datos!V23,(Datos!L23+Datos!AF23-(Datos!V23+Datos!AN23))/(Datos!V23+Datos!AN23))
     ),IF(D_I="SI",(Datos!L23-Datos!V23)/Datos!V23,(Datos!L23+Datos!AF23-(Datos!V23+Datos!AN23))/(Datos!V23+Datos!AN23))," - ")</f>
        <v>-2.3419203747072601E-2</v>
      </c>
      <c r="H23" s="401">
        <f>IF(ISNUMBER((Datos!M23-Datos!W23)/Datos!W23),(Datos!M23-Datos!W23)/Datos!W23," - ")</f>
        <v>1.2941176470588236</v>
      </c>
      <c r="I23" s="402">
        <f>IF(ISNUMBER((Tasas!C23-Datos!BE23)/Datos!BE23),(Tasas!C23-Datos!BE23)/Datos!BE23," - ")</f>
        <v>-0.17694282237198694</v>
      </c>
      <c r="J23" s="400">
        <f>IF(ISNUMBER((Tasas!D23-Datos!BF23)/Datos!BF23),(Tasas!D23-Datos!BF23)/Datos!BF23," - ")</f>
        <v>0.93347033136398661</v>
      </c>
      <c r="K23" s="403">
        <f>IF(ISNUMBER((Tasas!E23-Datos!BG23)/Datos!BG23),(Tasas!E23-Datos!BG23)/Datos!BG23," - ")</f>
        <v>-9.9386390630562052E-2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-7.7277970011534025E-2</v>
      </c>
      <c r="E31" s="409">
        <f>IF(ISNUMBER(
   IF(J_V="SI",(Datos!J31-Datos!T31)/Datos!T31,(Datos!J31+Datos!Z31-(Datos!T31+Datos!AH31))/(Datos!T31+Datos!AH31))
     ),IF(J_V="SI",(Datos!J31-Datos!T31)/Datos!T31,(Datos!J31+Datos!Z31-(Datos!T31+Datos!AH31))/(Datos!T31+Datos!AH31))," - ")</f>
        <v>0.19029567854435178</v>
      </c>
      <c r="F31" s="409">
        <f>IF(ISNUMBER(
   IF(J_V="SI",(Datos!K31-Datos!U31)/Datos!U31,(Datos!K31+Datos!AA31-(Datos!U31+Datos!AI31))/(Datos!U31+Datos!AI31))
     ),IF(J_V="SI",(Datos!K31-Datos!U31)/Datos!U31,(Datos!K31+Datos!AA31-(Datos!U31+Datos!AI31))/(Datos!U31+Datos!AI31))," - ")</f>
        <v>0.12638580931263857</v>
      </c>
      <c r="G31" s="410">
        <f>IF(ISNUMBER(
   IF(J_V="SI",(Datos!L31-Datos!V31)/Datos!V31,(Datos!L31+Datos!AB31-(Datos!V31+Datos!AJ31))/(Datos!V31+Datos!AJ31))
     ),IF(J_V="SI",(Datos!L31-Datos!V31)/Datos!V31,(Datos!L31+Datos!AB31-(Datos!V31+Datos!AJ31))/(Datos!V31+Datos!AJ31))," - ")</f>
        <v>6.8750000000000006E-2</v>
      </c>
      <c r="H31" s="411">
        <f>IF(ISNUMBER((Datos!M31-Datos!W31)/Datos!W31),(Datos!M31-Datos!W31)/Datos!W31," - ")</f>
        <v>0.88764044943820219</v>
      </c>
      <c r="I31" s="408">
        <f>IF(ISNUMBER((Tasas!C31-Datos!BE31)/Datos!BE31),(Tasas!C31-Datos!BE31)/Datos!BE31," - ")</f>
        <v>-5.1168799212598468E-2</v>
      </c>
      <c r="J31" s="409">
        <f>IF(ISNUMBER((Tasas!D31-Datos!BF31)/Datos!BF31),(Tasas!D31-Datos!BF31)/Datos!BF31," - ")</f>
        <v>-4.391278013325256E-2</v>
      </c>
      <c r="K31" s="410">
        <f>IF(ISNUMBER((Tasas!E31-Datos!BG31)/Datos!BG31),(Tasas!E31-Datos!BG31)/Datos!BG31," - ")</f>
        <v>-3.7477217223418985E-2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0.29134491223441406</v>
      </c>
      <c r="E33" s="303">
        <f t="shared" si="1"/>
        <v>0.1417698585340306</v>
      </c>
      <c r="F33" s="303">
        <f t="shared" si="1"/>
        <v>8.0522872295867742E-2</v>
      </c>
      <c r="G33" s="304">
        <f t="shared" si="1"/>
        <v>0.17033821739238589</v>
      </c>
      <c r="H33" s="310">
        <f t="shared" si="1"/>
        <v>0.75381414402105396</v>
      </c>
      <c r="I33" s="302">
        <f t="shared" si="1"/>
        <v>0.21248267237774357</v>
      </c>
      <c r="J33" s="303">
        <f t="shared" si="1"/>
        <v>0.76425693261390915</v>
      </c>
      <c r="K33" s="304">
        <f t="shared" si="1"/>
        <v>9.7418926446781046E-2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4bB82oRut5ubHWQ1bScVJqWT5nAii9ysKtIR2evv63YQ/zFiSeOWEuRpAizFIRO3wU2A74HQW2cRKKp733fA==" saltValue="TtwWD8UciqK+Ry3BhJPGh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